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1pfls1\☆教育総務課\01_庶務係\☆☆幼稚園関係\01 幼児教育無償化\◆令和７年度\01様式\01 請求書\"/>
    </mc:Choice>
  </mc:AlternateContent>
  <bookViews>
    <workbookView xWindow="-120" yWindow="-120" windowWidth="19440" windowHeight="15000" activeTab="1"/>
  </bookViews>
  <sheets>
    <sheet name="このファイルについて" sheetId="5" r:id="rId1"/>
    <sheet name="①園入力用名簿" sheetId="4" r:id="rId2"/>
    <sheet name="②請求書" sheetId="2" r:id="rId3"/>
    <sheet name="③内訳書（自動計算）" sheetId="1" r:id="rId4"/>
    <sheet name="触らない" sheetId="6" r:id="rId5"/>
  </sheets>
  <definedNames>
    <definedName name="_xlnm.Print_Area" localSheetId="3">'③内訳書（自動計算）'!$A$1:$CG$74</definedName>
    <definedName name="_xlnm.Print_Titles" localSheetId="1">①園入力用名簿!$9:$12</definedName>
    <definedName name="_xlnm.Print_Titles" localSheetId="3">'③内訳書（自動計算）'!$1:$14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Y17" i="1" l="1"/>
  <c r="AY15" i="1"/>
  <c r="AM17" i="1"/>
  <c r="AM15" i="1"/>
  <c r="T19" i="1"/>
  <c r="T17" i="1"/>
  <c r="T15" i="1"/>
  <c r="I15" i="1"/>
  <c r="C15" i="1"/>
  <c r="AM21" i="1"/>
  <c r="Z21" i="1"/>
  <c r="AG13" i="4" l="1"/>
  <c r="AI23" i="4" l="1"/>
  <c r="AI22" i="4"/>
  <c r="AI21" i="4"/>
  <c r="AI20" i="4"/>
  <c r="AI19" i="4"/>
  <c r="AI18" i="4"/>
  <c r="AI17" i="4"/>
  <c r="AI16" i="4"/>
  <c r="AI15" i="4"/>
  <c r="AI14" i="4"/>
  <c r="BU17" i="1" s="1"/>
  <c r="AI13" i="4"/>
  <c r="AN73" i="1" l="1"/>
  <c r="AR71" i="1"/>
  <c r="AM71" i="1"/>
  <c r="AN67" i="1"/>
  <c r="AR65" i="1"/>
  <c r="AM65" i="1"/>
  <c r="AN61" i="1"/>
  <c r="AR59" i="1"/>
  <c r="AM59" i="1"/>
  <c r="AN55" i="1"/>
  <c r="AR53" i="1"/>
  <c r="AM53" i="1"/>
  <c r="AN49" i="1"/>
  <c r="AR47" i="1"/>
  <c r="AM47" i="1"/>
  <c r="AN43" i="1"/>
  <c r="AR41" i="1"/>
  <c r="AM41" i="1"/>
  <c r="AN37" i="1"/>
  <c r="AR35" i="1"/>
  <c r="AM35" i="1"/>
  <c r="AN31" i="1"/>
  <c r="AR29" i="1"/>
  <c r="AM29" i="1"/>
  <c r="AN25" i="1"/>
  <c r="AN19" i="1"/>
  <c r="AR23" i="1"/>
  <c r="AM23" i="1"/>
  <c r="AR17" i="1"/>
  <c r="E13" i="4" l="1"/>
  <c r="AR6" i="1" l="1"/>
  <c r="AQ6" i="1" s="1"/>
  <c r="AK6" i="1"/>
  <c r="BD71" i="1" l="1"/>
  <c r="BD59" i="1"/>
  <c r="BD47" i="1"/>
  <c r="BD35" i="1"/>
  <c r="BD19" i="1"/>
  <c r="BD67" i="1"/>
  <c r="BD55" i="1"/>
  <c r="BD43" i="1"/>
  <c r="BD31" i="1"/>
  <c r="BD37" i="1"/>
  <c r="BD17" i="1"/>
  <c r="BD23" i="1"/>
  <c r="BD65" i="1"/>
  <c r="BD53" i="1"/>
  <c r="BD41" i="1"/>
  <c r="BD29" i="1"/>
  <c r="BD73" i="1"/>
  <c r="BD61" i="1"/>
  <c r="BD49" i="1"/>
  <c r="BD25" i="1"/>
  <c r="AD14" i="2"/>
  <c r="N66" i="2" s="1"/>
  <c r="V14" i="2"/>
  <c r="H66" i="2" s="1"/>
  <c r="O13" i="4"/>
  <c r="AL14" i="4" l="1"/>
  <c r="AL15" i="4"/>
  <c r="AL16" i="4"/>
  <c r="AL17" i="4"/>
  <c r="AL18" i="4"/>
  <c r="AL19" i="4"/>
  <c r="AL20" i="4"/>
  <c r="AL21" i="4"/>
  <c r="AL22" i="4"/>
  <c r="AL23" i="4"/>
  <c r="B1" i="6" l="1"/>
  <c r="K12" i="6" s="1"/>
  <c r="B5" i="6" l="1"/>
  <c r="H7" i="6"/>
  <c r="F8" i="6"/>
  <c r="D5" i="6"/>
  <c r="B7" i="6"/>
  <c r="B11" i="6"/>
  <c r="B15" i="6"/>
  <c r="C6" i="6"/>
  <c r="F5" i="6"/>
  <c r="E7" i="6"/>
  <c r="G5" i="6"/>
  <c r="G9" i="6"/>
  <c r="H11" i="6"/>
  <c r="I8" i="6"/>
  <c r="I12" i="6"/>
  <c r="J8" i="6"/>
  <c r="J12" i="6"/>
  <c r="K7" i="6"/>
  <c r="K11" i="6"/>
  <c r="L5" i="6"/>
  <c r="L9" i="6"/>
  <c r="L13" i="6"/>
  <c r="M6" i="6"/>
  <c r="M10" i="6"/>
  <c r="M14" i="6"/>
  <c r="N6" i="6"/>
  <c r="N10" i="6"/>
  <c r="N14" i="6"/>
  <c r="B8" i="6"/>
  <c r="B12" i="6"/>
  <c r="B16" i="6"/>
  <c r="D6" i="6"/>
  <c r="F6" i="6"/>
  <c r="F7" i="6"/>
  <c r="G6" i="6"/>
  <c r="G10" i="6"/>
  <c r="H8" i="6"/>
  <c r="I5" i="6"/>
  <c r="I9" i="6"/>
  <c r="J5" i="6"/>
  <c r="J9" i="6"/>
  <c r="J13" i="6"/>
  <c r="K8" i="6"/>
  <c r="L6" i="6"/>
  <c r="L10" i="6"/>
  <c r="L14" i="6"/>
  <c r="M7" i="6"/>
  <c r="M11" i="6"/>
  <c r="M15" i="6"/>
  <c r="N7" i="6"/>
  <c r="N11" i="6"/>
  <c r="N15" i="6"/>
  <c r="B9" i="6"/>
  <c r="B13" i="6"/>
  <c r="B17" i="6"/>
  <c r="E5" i="6"/>
  <c r="E8" i="6"/>
  <c r="G7" i="6"/>
  <c r="H5" i="6"/>
  <c r="H9" i="6"/>
  <c r="I6" i="6"/>
  <c r="I10" i="6"/>
  <c r="J6" i="6"/>
  <c r="J10" i="6"/>
  <c r="K5" i="6"/>
  <c r="K9" i="6"/>
  <c r="K13" i="6"/>
  <c r="L7" i="6"/>
  <c r="L11" i="6"/>
  <c r="L15" i="6"/>
  <c r="M8" i="6"/>
  <c r="M12" i="6"/>
  <c r="M16" i="6"/>
  <c r="N8" i="6"/>
  <c r="N12" i="6"/>
  <c r="N16" i="6"/>
  <c r="B6" i="6"/>
  <c r="B10" i="6"/>
  <c r="B14" i="6"/>
  <c r="C5" i="6"/>
  <c r="E6" i="6"/>
  <c r="D7" i="6"/>
  <c r="F9" i="6"/>
  <c r="G8" i="6"/>
  <c r="H6" i="6"/>
  <c r="H10" i="6"/>
  <c r="I7" i="6"/>
  <c r="I11" i="6"/>
  <c r="J7" i="6"/>
  <c r="J11" i="6"/>
  <c r="K6" i="6"/>
  <c r="K10" i="6"/>
  <c r="K14" i="6"/>
  <c r="L8" i="6"/>
  <c r="L12" i="6"/>
  <c r="M5" i="6"/>
  <c r="M9" i="6"/>
  <c r="M13" i="6"/>
  <c r="N5" i="6"/>
  <c r="N9" i="6"/>
  <c r="N13" i="6"/>
  <c r="N17" i="6"/>
  <c r="AL13" i="4" l="1"/>
  <c r="AM69" i="1"/>
  <c r="AM63" i="1"/>
  <c r="AM57" i="1"/>
  <c r="AM51" i="1"/>
  <c r="AM45" i="1"/>
  <c r="AM39" i="1"/>
  <c r="AM33" i="1"/>
  <c r="AJ11" i="4" l="1"/>
  <c r="X11" i="4"/>
  <c r="Z69" i="1" l="1"/>
  <c r="Z63" i="1"/>
  <c r="Z57" i="1"/>
  <c r="Z51" i="1"/>
  <c r="Z45" i="1"/>
  <c r="Z39" i="1"/>
  <c r="Z33" i="1"/>
  <c r="Z27" i="1"/>
  <c r="Z15" i="1"/>
  <c r="AE14" i="4" l="1"/>
  <c r="AC14" i="4"/>
  <c r="AA14" i="4"/>
  <c r="O14" i="4"/>
  <c r="AG14" i="4" s="1"/>
  <c r="BI15" i="1" s="1"/>
  <c r="N14" i="4"/>
  <c r="L14" i="4"/>
  <c r="J14" i="4"/>
  <c r="AE17" i="4" l="1"/>
  <c r="AE16" i="4"/>
  <c r="AE15" i="4"/>
  <c r="AC17" i="4"/>
  <c r="AC16" i="4"/>
  <c r="AC15" i="4"/>
  <c r="AA17" i="4"/>
  <c r="AA16" i="4"/>
  <c r="AA15" i="4"/>
  <c r="E14" i="4"/>
  <c r="AH17" i="4"/>
  <c r="O17" i="4"/>
  <c r="AG17" i="4" s="1"/>
  <c r="N17" i="4"/>
  <c r="L17" i="4"/>
  <c r="J17" i="4"/>
  <c r="E17" i="4"/>
  <c r="AH16" i="4"/>
  <c r="O16" i="4"/>
  <c r="AG16" i="4" s="1"/>
  <c r="N16" i="4"/>
  <c r="L16" i="4"/>
  <c r="J16" i="4"/>
  <c r="E16" i="4"/>
  <c r="AH15" i="4"/>
  <c r="O15" i="4"/>
  <c r="AG15" i="4" s="1"/>
  <c r="N15" i="4"/>
  <c r="L15" i="4"/>
  <c r="J15" i="4"/>
  <c r="E15" i="4"/>
  <c r="AH14" i="4"/>
  <c r="AM17" i="4" l="1"/>
  <c r="AM27" i="1"/>
  <c r="AJ15" i="4"/>
  <c r="AJ16" i="4"/>
  <c r="AJ14" i="4"/>
  <c r="AN14" i="4" s="1"/>
  <c r="AO14" i="4" s="1"/>
  <c r="BI19" i="1" s="1"/>
  <c r="AJ17" i="4"/>
  <c r="AN17" i="4" s="1"/>
  <c r="AO17" i="4" s="1"/>
  <c r="BI37" i="1" s="1"/>
  <c r="AH13" i="4"/>
  <c r="O18" i="4"/>
  <c r="AG18" i="4" s="1"/>
  <c r="O19" i="4"/>
  <c r="AG19" i="4" s="1"/>
  <c r="O20" i="4"/>
  <c r="AG20" i="4" s="1"/>
  <c r="O21" i="4"/>
  <c r="AG21" i="4" s="1"/>
  <c r="O22" i="4"/>
  <c r="AG22" i="4" s="1"/>
  <c r="O23" i="4"/>
  <c r="AG23" i="4" s="1"/>
  <c r="AN15" i="4" l="1"/>
  <c r="AO15" i="4" s="1"/>
  <c r="AM15" i="4"/>
  <c r="BI31" i="1"/>
  <c r="AN16" i="4"/>
  <c r="AO16" i="4" s="1"/>
  <c r="AM16" i="4"/>
  <c r="AK15" i="4"/>
  <c r="AK16" i="4"/>
  <c r="AK17" i="4"/>
  <c r="AK14" i="4"/>
  <c r="AM14" i="4"/>
  <c r="AJ13" i="4"/>
  <c r="AK13" i="4" s="1"/>
  <c r="BI25" i="1" l="1"/>
  <c r="AM13" i="4"/>
  <c r="AN13" i="4" s="1"/>
  <c r="AO13" i="4" s="1"/>
  <c r="BR6" i="1"/>
  <c r="N23" i="4" l="1"/>
  <c r="N22" i="4"/>
  <c r="N21" i="4"/>
  <c r="N20" i="4"/>
  <c r="N19" i="4"/>
  <c r="N18" i="4"/>
  <c r="L23" i="4"/>
  <c r="L22" i="4"/>
  <c r="L21" i="4"/>
  <c r="L20" i="4"/>
  <c r="L19" i="4"/>
  <c r="L18" i="4"/>
  <c r="J23" i="4"/>
  <c r="J22" i="4"/>
  <c r="J21" i="4"/>
  <c r="J20" i="4"/>
  <c r="J19" i="4"/>
  <c r="J18" i="4"/>
  <c r="AY69" i="1" l="1"/>
  <c r="AY61" i="1"/>
  <c r="AY73" i="1"/>
  <c r="AY65" i="1"/>
  <c r="AY57" i="1"/>
  <c r="AY59" i="1"/>
  <c r="AY49" i="1"/>
  <c r="AY41" i="1"/>
  <c r="AY33" i="1"/>
  <c r="AY25" i="1"/>
  <c r="AY71" i="1"/>
  <c r="AY55" i="1"/>
  <c r="AY47" i="1"/>
  <c r="AY39" i="1"/>
  <c r="AY31" i="1"/>
  <c r="AY23" i="1"/>
  <c r="AY19" i="1"/>
  <c r="AY67" i="1"/>
  <c r="AY53" i="1"/>
  <c r="AY45" i="1"/>
  <c r="AY37" i="1"/>
  <c r="AY29" i="1"/>
  <c r="AY21" i="1"/>
  <c r="AY63" i="1"/>
  <c r="AY27" i="1"/>
  <c r="AY51" i="1"/>
  <c r="AY43" i="1"/>
  <c r="AY35" i="1"/>
  <c r="BU15" i="1" l="1"/>
  <c r="BI17" i="1" s="1"/>
  <c r="AE18" i="4"/>
  <c r="AE19" i="4"/>
  <c r="AE20" i="4"/>
  <c r="AE21" i="4"/>
  <c r="AE22" i="4"/>
  <c r="AE23" i="4"/>
  <c r="AC18" i="4"/>
  <c r="AC19" i="4"/>
  <c r="AC20" i="4"/>
  <c r="AC21" i="4"/>
  <c r="AC22" i="4"/>
  <c r="AC23" i="4"/>
  <c r="AA18" i="4"/>
  <c r="AA19" i="4"/>
  <c r="AA20" i="4"/>
  <c r="AA21" i="4"/>
  <c r="AA22" i="4"/>
  <c r="AA23" i="4"/>
  <c r="N13" i="4"/>
  <c r="L13" i="4"/>
  <c r="J13" i="4"/>
  <c r="T73" i="1" l="1"/>
  <c r="T71" i="1"/>
  <c r="T69" i="1"/>
  <c r="T67" i="1"/>
  <c r="T65" i="1"/>
  <c r="T63" i="1"/>
  <c r="T61" i="1"/>
  <c r="T59" i="1"/>
  <c r="T57" i="1"/>
  <c r="T55" i="1"/>
  <c r="T53" i="1"/>
  <c r="T51" i="1"/>
  <c r="T49" i="1"/>
  <c r="T47" i="1"/>
  <c r="T45" i="1"/>
  <c r="T43" i="1"/>
  <c r="T41" i="1"/>
  <c r="T39" i="1"/>
  <c r="T37" i="1"/>
  <c r="T35" i="1"/>
  <c r="T33" i="1"/>
  <c r="T31" i="1"/>
  <c r="T29" i="1"/>
  <c r="T27" i="1"/>
  <c r="T25" i="1"/>
  <c r="T23" i="1"/>
  <c r="T21" i="1"/>
  <c r="E23" i="4" l="1"/>
  <c r="E22" i="4"/>
  <c r="E21" i="4"/>
  <c r="E20" i="4"/>
  <c r="E19" i="4"/>
  <c r="E18" i="4"/>
  <c r="I71" i="1" l="1"/>
  <c r="I69" i="1"/>
  <c r="C69" i="1"/>
  <c r="I65" i="1"/>
  <c r="I63" i="1"/>
  <c r="C63" i="1"/>
  <c r="I59" i="1"/>
  <c r="I57" i="1"/>
  <c r="C57" i="1"/>
  <c r="I53" i="1"/>
  <c r="I51" i="1"/>
  <c r="C51" i="1"/>
  <c r="I47" i="1"/>
  <c r="I45" i="1"/>
  <c r="C45" i="1"/>
  <c r="I41" i="1"/>
  <c r="I39" i="1"/>
  <c r="C39" i="1"/>
  <c r="I35" i="1"/>
  <c r="I33" i="1"/>
  <c r="C33" i="1"/>
  <c r="I29" i="1"/>
  <c r="I27" i="1"/>
  <c r="C27" i="1"/>
  <c r="I23" i="1"/>
  <c r="I21" i="1"/>
  <c r="C21" i="1"/>
  <c r="I17" i="1"/>
  <c r="BU23" i="1" l="1"/>
  <c r="AH18" i="4"/>
  <c r="AH19" i="4"/>
  <c r="AH20" i="4"/>
  <c r="AH21" i="4"/>
  <c r="AH22" i="4"/>
  <c r="AH23" i="4"/>
  <c r="AM20" i="4" l="1"/>
  <c r="AK20" i="4"/>
  <c r="AJ20" i="4"/>
  <c r="AN20" i="4" s="1"/>
  <c r="AO20" i="4" s="1"/>
  <c r="BI55" i="1" s="1"/>
  <c r="AJ23" i="4"/>
  <c r="AN23" i="4" s="1"/>
  <c r="AO23" i="4" s="1"/>
  <c r="BI73" i="1" s="1"/>
  <c r="AM23" i="4"/>
  <c r="AM19" i="4"/>
  <c r="AJ19" i="4"/>
  <c r="AN19" i="4" s="1"/>
  <c r="AO19" i="4" s="1"/>
  <c r="BI49" i="1" s="1"/>
  <c r="AK19" i="4"/>
  <c r="AJ22" i="4"/>
  <c r="AN22" i="4" s="1"/>
  <c r="AO22" i="4" s="1"/>
  <c r="BI67" i="1" s="1"/>
  <c r="AM21" i="4"/>
  <c r="AK21" i="4"/>
  <c r="AJ21" i="4"/>
  <c r="AN21" i="4" s="1"/>
  <c r="AO21" i="4" s="1"/>
  <c r="BI61" i="1" s="1"/>
  <c r="BU71" i="1"/>
  <c r="BU47" i="1"/>
  <c r="AJ18" i="4"/>
  <c r="AN18" i="4" s="1"/>
  <c r="AO18" i="4" s="1"/>
  <c r="BI21" i="1"/>
  <c r="BU63" i="1"/>
  <c r="BU39" i="1"/>
  <c r="BU69" i="1"/>
  <c r="BU45" i="1"/>
  <c r="BU53" i="1"/>
  <c r="BU29" i="1"/>
  <c r="BI63" i="1"/>
  <c r="BI57" i="1"/>
  <c r="BU65" i="1"/>
  <c r="BU41" i="1"/>
  <c r="BI69" i="1"/>
  <c r="BI71" i="1" s="1"/>
  <c r="BI45" i="1"/>
  <c r="BU51" i="1"/>
  <c r="BU27" i="1"/>
  <c r="BU59" i="1"/>
  <c r="BU35" i="1"/>
  <c r="BI51" i="1"/>
  <c r="BI53" i="1" s="1"/>
  <c r="BU57" i="1"/>
  <c r="BU33" i="1"/>
  <c r="BI47" i="1"/>
  <c r="BI39" i="1"/>
  <c r="BU21" i="1"/>
  <c r="BI33" i="1"/>
  <c r="BI27" i="1"/>
  <c r="BI23" i="1" l="1"/>
  <c r="BI65" i="1"/>
  <c r="AM22" i="4"/>
  <c r="AK23" i="4"/>
  <c r="AM18" i="4"/>
  <c r="BI43" i="1"/>
  <c r="C4" i="4"/>
  <c r="BI59" i="1"/>
  <c r="AK22" i="4"/>
  <c r="AK18" i="4"/>
  <c r="BI41" i="1"/>
  <c r="BI35" i="1"/>
  <c r="BI29" i="1"/>
  <c r="AX66" i="2" l="1"/>
  <c r="AE66" i="2" s="1"/>
</calcChain>
</file>

<file path=xl/comments1.xml><?xml version="1.0" encoding="utf-8"?>
<comments xmlns="http://schemas.openxmlformats.org/spreadsheetml/2006/main">
  <authors>
    <author>竹谷勇希</author>
  </authors>
  <commentList>
    <comment ref="C3" authorId="0" shapeId="0">
      <text>
        <r>
          <rPr>
            <sz val="9"/>
            <color indexed="81"/>
            <rFont val="ＭＳ Ｐゴシック"/>
            <family val="3"/>
            <charset val="128"/>
          </rPr>
          <t>・請求月
・平日日数
を入力してください。</t>
        </r>
      </text>
    </comment>
    <comment ref="AN11" authorId="0" shapeId="0">
      <text>
        <r>
          <rPr>
            <sz val="9"/>
            <color indexed="81"/>
            <rFont val="ＭＳ Ｐゴシック"/>
            <family val="3"/>
            <charset val="128"/>
          </rPr>
          <t>退園・休園により在園月数が変更となった場合に発生</t>
        </r>
      </text>
    </comment>
    <comment ref="H12" authorId="0" shapeId="0">
      <text>
        <r>
          <rPr>
            <sz val="9"/>
            <color indexed="81"/>
            <rFont val="ＭＳ Ｐゴシック"/>
            <family val="3"/>
            <charset val="128"/>
          </rPr>
          <t xml:space="preserve">満３歳児は、
①誕生日の前日
②実際の入園日
のうち、遅い日を入力してください。
</t>
        </r>
      </text>
    </comment>
    <comment ref="R12" authorId="0" shapeId="0">
      <text>
        <r>
          <rPr>
            <sz val="9"/>
            <color indexed="81"/>
            <rFont val="ＭＳ Ｐゴシック"/>
            <family val="3"/>
            <charset val="128"/>
          </rPr>
          <t>野々市市民としての
提供日数を入力</t>
        </r>
      </text>
    </comment>
    <comment ref="AF12" authorId="0" shapeId="0">
      <text>
        <r>
          <rPr>
            <sz val="9"/>
            <color indexed="81"/>
            <rFont val="ＭＳ Ｐゴシック"/>
            <family val="3"/>
            <charset val="128"/>
          </rPr>
          <t>異動を受けた確定在籍月数を入力</t>
        </r>
      </text>
    </comment>
  </commentList>
</comments>
</file>

<file path=xl/comments2.xml><?xml version="1.0" encoding="utf-8"?>
<comments xmlns="http://schemas.openxmlformats.org/spreadsheetml/2006/main">
  <authors>
    <author>竹内　有紀</author>
  </authors>
  <commentList>
    <comment ref="AX68" authorId="0" shapeId="0">
      <text>
        <r>
          <rPr>
            <b/>
            <sz val="9"/>
            <color indexed="81"/>
            <rFont val="ＭＳ Ｐゴシック"/>
            <family val="3"/>
            <charset val="128"/>
          </rPr>
          <t>竹内　有紀:</t>
        </r>
        <r>
          <rPr>
            <sz val="9"/>
            <color indexed="81"/>
            <rFont val="ＭＳ Ｐゴシック"/>
            <family val="3"/>
            <charset val="128"/>
          </rPr>
          <t xml:space="preserve">
前月分までの差額調整額を市に確認の上入力してください。</t>
        </r>
      </text>
    </comment>
    <comment ref="G87" authorId="0" shapeId="0">
      <text>
        <r>
          <rPr>
            <sz val="9"/>
            <color indexed="81"/>
            <rFont val="ＭＳ Ｐゴシック"/>
            <family val="3"/>
            <charset val="128"/>
          </rPr>
          <t xml:space="preserve">請求書作成に係る事務ご担当者様のお名前の記入をお願いします。（押印しない場合）
</t>
        </r>
      </text>
    </comment>
  </commentList>
</comments>
</file>

<file path=xl/sharedStrings.xml><?xml version="1.0" encoding="utf-8"?>
<sst xmlns="http://schemas.openxmlformats.org/spreadsheetml/2006/main" count="352" uniqueCount="158">
  <si>
    <t>請求日</t>
    <rPh sb="0" eb="2">
      <t>セイキュウ</t>
    </rPh>
    <rPh sb="2" eb="3">
      <t>ビ</t>
    </rPh>
    <phoneticPr fontId="1"/>
  </si>
  <si>
    <t>年</t>
    <rPh sb="0" eb="1">
      <t>ネン</t>
    </rPh>
    <phoneticPr fontId="1"/>
  </si>
  <si>
    <t>月</t>
    <rPh sb="0" eb="1">
      <t>ツキ</t>
    </rPh>
    <phoneticPr fontId="1"/>
  </si>
  <si>
    <t>日</t>
    <rPh sb="0" eb="1">
      <t>ヒ</t>
    </rPh>
    <phoneticPr fontId="1"/>
  </si>
  <si>
    <t>（宛先）野々市市長</t>
    <rPh sb="1" eb="3">
      <t>アテサキ</t>
    </rPh>
    <rPh sb="4" eb="9">
      <t>ノノイチシチョウ</t>
    </rPh>
    <phoneticPr fontId="1"/>
  </si>
  <si>
    <t>施設等利用費請求書（法定代理受領用）</t>
    <rPh sb="0" eb="2">
      <t>シセツ</t>
    </rPh>
    <rPh sb="2" eb="3">
      <t>トウ</t>
    </rPh>
    <rPh sb="3" eb="5">
      <t>リヨウ</t>
    </rPh>
    <rPh sb="5" eb="6">
      <t>ヒ</t>
    </rPh>
    <rPh sb="6" eb="9">
      <t>セイキュウショ</t>
    </rPh>
    <rPh sb="10" eb="12">
      <t>ホウテイ</t>
    </rPh>
    <rPh sb="12" eb="14">
      <t>ダイリ</t>
    </rPh>
    <rPh sb="14" eb="16">
      <t>ジュリョウ</t>
    </rPh>
    <rPh sb="16" eb="17">
      <t>ヨウ</t>
    </rPh>
    <phoneticPr fontId="1"/>
  </si>
  <si>
    <t>施設等利用給付認定保護者に代わって施設等利用費を代理受領する場合</t>
    <rPh sb="0" eb="2">
      <t>シセツ</t>
    </rPh>
    <rPh sb="2" eb="3">
      <t>トウ</t>
    </rPh>
    <rPh sb="3" eb="5">
      <t>リヨウ</t>
    </rPh>
    <rPh sb="5" eb="7">
      <t>キュウフ</t>
    </rPh>
    <rPh sb="7" eb="9">
      <t>ニンテイ</t>
    </rPh>
    <rPh sb="9" eb="12">
      <t>ホゴシャ</t>
    </rPh>
    <rPh sb="13" eb="14">
      <t>カ</t>
    </rPh>
    <rPh sb="17" eb="19">
      <t>シセツ</t>
    </rPh>
    <rPh sb="19" eb="20">
      <t>トウ</t>
    </rPh>
    <rPh sb="20" eb="22">
      <t>リヨウ</t>
    </rPh>
    <rPh sb="22" eb="23">
      <t>ヒ</t>
    </rPh>
    <rPh sb="24" eb="26">
      <t>ダイリ</t>
    </rPh>
    <rPh sb="26" eb="28">
      <t>ジュリョウ</t>
    </rPh>
    <rPh sb="30" eb="32">
      <t>バアイ</t>
    </rPh>
    <phoneticPr fontId="1"/>
  </si>
  <si>
    <t>私（請求者）は、特定子ども・子育て支援提供者として、子ども・子育て支援法第３０条の１１第３項の</t>
    <rPh sb="0" eb="1">
      <t>ワタシ</t>
    </rPh>
    <rPh sb="2" eb="5">
      <t>セイキュウシャ</t>
    </rPh>
    <rPh sb="8" eb="10">
      <t>トクテイ</t>
    </rPh>
    <rPh sb="10" eb="11">
      <t>コ</t>
    </rPh>
    <rPh sb="14" eb="16">
      <t>コソダ</t>
    </rPh>
    <rPh sb="17" eb="19">
      <t>シエン</t>
    </rPh>
    <rPh sb="19" eb="21">
      <t>テイキョウ</t>
    </rPh>
    <rPh sb="21" eb="22">
      <t>シャ</t>
    </rPh>
    <rPh sb="26" eb="27">
      <t>コ</t>
    </rPh>
    <rPh sb="30" eb="32">
      <t>コソダ</t>
    </rPh>
    <rPh sb="33" eb="35">
      <t>シエン</t>
    </rPh>
    <rPh sb="35" eb="36">
      <t>ホウ</t>
    </rPh>
    <rPh sb="36" eb="37">
      <t>ダイ</t>
    </rPh>
    <rPh sb="39" eb="40">
      <t>ジョウ</t>
    </rPh>
    <rPh sb="43" eb="44">
      <t>ダイ</t>
    </rPh>
    <rPh sb="45" eb="46">
      <t>コウ</t>
    </rPh>
    <phoneticPr fontId="1"/>
  </si>
  <si>
    <t>します。</t>
    <phoneticPr fontId="1"/>
  </si>
  <si>
    <t>なお、施設等利用費の審査及び支払いにあたり、次の事項に同意します。</t>
    <rPh sb="3" eb="9">
      <t>シセツトウリヨウヒ</t>
    </rPh>
    <rPh sb="10" eb="12">
      <t>シンサ</t>
    </rPh>
    <rPh sb="12" eb="13">
      <t>オヨ</t>
    </rPh>
    <rPh sb="14" eb="16">
      <t>シハラ</t>
    </rPh>
    <rPh sb="22" eb="23">
      <t>ツギ</t>
    </rPh>
    <rPh sb="24" eb="26">
      <t>ジコウ</t>
    </rPh>
    <rPh sb="27" eb="29">
      <t>ドウイ</t>
    </rPh>
    <phoneticPr fontId="1"/>
  </si>
  <si>
    <t>１．実際の利用状況等について野々市市が施設等利用給付認定保護者に確認すること。</t>
    <rPh sb="2" eb="4">
      <t>ジッサイ</t>
    </rPh>
    <rPh sb="5" eb="7">
      <t>リヨウ</t>
    </rPh>
    <rPh sb="7" eb="9">
      <t>ジョウキョウ</t>
    </rPh>
    <rPh sb="9" eb="10">
      <t>トウ</t>
    </rPh>
    <rPh sb="14" eb="18">
      <t>ノノイチシ</t>
    </rPh>
    <rPh sb="19" eb="21">
      <t>シセツ</t>
    </rPh>
    <rPh sb="21" eb="22">
      <t>トウ</t>
    </rPh>
    <rPh sb="22" eb="24">
      <t>リヨウ</t>
    </rPh>
    <rPh sb="24" eb="26">
      <t>キュウフ</t>
    </rPh>
    <rPh sb="26" eb="28">
      <t>ニンテイ</t>
    </rPh>
    <rPh sb="28" eb="31">
      <t>ホゴシャ</t>
    </rPh>
    <rPh sb="32" eb="34">
      <t>カクニン</t>
    </rPh>
    <phoneticPr fontId="1"/>
  </si>
  <si>
    <t>２．利用料の請求・支払い状況を野々市市が施設等利用給付認定保護者に確認すること。</t>
    <rPh sb="2" eb="5">
      <t>リヨウリョウ</t>
    </rPh>
    <rPh sb="6" eb="8">
      <t>セイキュウ</t>
    </rPh>
    <rPh sb="9" eb="11">
      <t>シハラ</t>
    </rPh>
    <rPh sb="12" eb="14">
      <t>ジョウキョウ</t>
    </rPh>
    <rPh sb="15" eb="19">
      <t>ノノイチシ</t>
    </rPh>
    <rPh sb="20" eb="32">
      <t>シセツトウリヨウキュウフニンテイホゴシャ</t>
    </rPh>
    <rPh sb="33" eb="35">
      <t>カクニン</t>
    </rPh>
    <phoneticPr fontId="1"/>
  </si>
  <si>
    <t>３．野々市市の要請・質問等に対応すること。</t>
    <rPh sb="2" eb="6">
      <t>ノノイチシ</t>
    </rPh>
    <rPh sb="7" eb="9">
      <t>ヨウセイ</t>
    </rPh>
    <rPh sb="10" eb="12">
      <t>シツモン</t>
    </rPh>
    <rPh sb="12" eb="13">
      <t>トウ</t>
    </rPh>
    <rPh sb="14" eb="16">
      <t>タイオウ</t>
    </rPh>
    <phoneticPr fontId="1"/>
  </si>
  <si>
    <t>１．特定子ども・子育て支援提供者（請求者）</t>
    <rPh sb="2" eb="4">
      <t>トクテイ</t>
    </rPh>
    <rPh sb="4" eb="5">
      <t>コ</t>
    </rPh>
    <rPh sb="8" eb="10">
      <t>コソダ</t>
    </rPh>
    <rPh sb="11" eb="13">
      <t>シエン</t>
    </rPh>
    <rPh sb="13" eb="16">
      <t>テイキョウシャ</t>
    </rPh>
    <rPh sb="17" eb="20">
      <t>セイキュウシャ</t>
    </rPh>
    <phoneticPr fontId="1"/>
  </si>
  <si>
    <t>フリガナ</t>
    <phoneticPr fontId="1"/>
  </si>
  <si>
    <t>特定子ども・子育て
支援提供者氏名
（請求者）</t>
    <rPh sb="0" eb="2">
      <t>トクテイ</t>
    </rPh>
    <rPh sb="2" eb="3">
      <t>コ</t>
    </rPh>
    <rPh sb="6" eb="8">
      <t>コソダ</t>
    </rPh>
    <rPh sb="10" eb="12">
      <t>シエン</t>
    </rPh>
    <rPh sb="12" eb="15">
      <t>テイキョウシャ</t>
    </rPh>
    <rPh sb="15" eb="17">
      <t>シメイ</t>
    </rPh>
    <rPh sb="19" eb="22">
      <t>セイキュウシャ</t>
    </rPh>
    <phoneticPr fontId="1"/>
  </si>
  <si>
    <t>請求者の
所属団体</t>
    <rPh sb="0" eb="3">
      <t>セイキュウシャ</t>
    </rPh>
    <rPh sb="5" eb="7">
      <t>ショゾク</t>
    </rPh>
    <rPh sb="7" eb="9">
      <t>ダンタイ</t>
    </rPh>
    <phoneticPr fontId="1"/>
  </si>
  <si>
    <t>請求者の
役職名等</t>
    <rPh sb="0" eb="3">
      <t>セイキュウシャ</t>
    </rPh>
    <rPh sb="5" eb="8">
      <t>ヤクショクメイ</t>
    </rPh>
    <rPh sb="8" eb="9">
      <t>トウ</t>
    </rPh>
    <phoneticPr fontId="1"/>
  </si>
  <si>
    <t>２．特定子ども・子育て支援施設・事業所</t>
    <rPh sb="2" eb="4">
      <t>トクテイ</t>
    </rPh>
    <rPh sb="4" eb="5">
      <t>コ</t>
    </rPh>
    <rPh sb="8" eb="10">
      <t>コソダ</t>
    </rPh>
    <rPh sb="11" eb="13">
      <t>シエン</t>
    </rPh>
    <rPh sb="13" eb="15">
      <t>シセツ</t>
    </rPh>
    <rPh sb="16" eb="19">
      <t>ジギョウショ</t>
    </rPh>
    <phoneticPr fontId="1"/>
  </si>
  <si>
    <t>幼稚園等の名称</t>
    <rPh sb="0" eb="3">
      <t>ヨウチエン</t>
    </rPh>
    <rPh sb="3" eb="4">
      <t>トウ</t>
    </rPh>
    <rPh sb="5" eb="7">
      <t>メイショウ</t>
    </rPh>
    <phoneticPr fontId="1"/>
  </si>
  <si>
    <t>所在地</t>
    <rPh sb="0" eb="3">
      <t>ショザイチ</t>
    </rPh>
    <phoneticPr fontId="1"/>
  </si>
  <si>
    <t>（市外の場合のみ記入）</t>
    <rPh sb="1" eb="3">
      <t>シガイ</t>
    </rPh>
    <rPh sb="4" eb="6">
      <t>バアイ</t>
    </rPh>
    <rPh sb="8" eb="10">
      <t>キニュウ</t>
    </rPh>
    <phoneticPr fontId="1"/>
  </si>
  <si>
    <t>幼稚園等の
運営団体名</t>
    <rPh sb="0" eb="3">
      <t>ヨウチエン</t>
    </rPh>
    <rPh sb="3" eb="4">
      <t>トウ</t>
    </rPh>
    <rPh sb="6" eb="8">
      <t>ウンエイ</t>
    </rPh>
    <rPh sb="8" eb="10">
      <t>ダンタイ</t>
    </rPh>
    <rPh sb="10" eb="11">
      <t>メイ</t>
    </rPh>
    <phoneticPr fontId="1"/>
  </si>
  <si>
    <t>３．施設等利用費請求金額</t>
    <rPh sb="2" eb="4">
      <t>シセツ</t>
    </rPh>
    <rPh sb="4" eb="5">
      <t>トウ</t>
    </rPh>
    <rPh sb="5" eb="7">
      <t>リヨウ</t>
    </rPh>
    <rPh sb="7" eb="8">
      <t>ヒ</t>
    </rPh>
    <rPh sb="8" eb="10">
      <t>セイキュウ</t>
    </rPh>
    <rPh sb="10" eb="12">
      <t>キンガク</t>
    </rPh>
    <phoneticPr fontId="1"/>
  </si>
  <si>
    <t>請求する
年月分</t>
    <rPh sb="0" eb="2">
      <t>セイキュウ</t>
    </rPh>
    <rPh sb="5" eb="6">
      <t>ネン</t>
    </rPh>
    <rPh sb="6" eb="7">
      <t>ゲツ</t>
    </rPh>
    <rPh sb="7" eb="8">
      <t>ブン</t>
    </rPh>
    <phoneticPr fontId="1"/>
  </si>
  <si>
    <t>請求金額</t>
    <rPh sb="0" eb="2">
      <t>セイキュウ</t>
    </rPh>
    <rPh sb="2" eb="4">
      <t>キンガク</t>
    </rPh>
    <phoneticPr fontId="1"/>
  </si>
  <si>
    <t>円</t>
    <rPh sb="0" eb="1">
      <t>エン</t>
    </rPh>
    <phoneticPr fontId="1"/>
  </si>
  <si>
    <t>４．施設等利用費請求金額の内訳</t>
    <rPh sb="2" eb="4">
      <t>シセツ</t>
    </rPh>
    <rPh sb="4" eb="5">
      <t>トウ</t>
    </rPh>
    <rPh sb="5" eb="7">
      <t>リヨウ</t>
    </rPh>
    <rPh sb="7" eb="8">
      <t>ヒ</t>
    </rPh>
    <rPh sb="8" eb="10">
      <t>セイキュウ</t>
    </rPh>
    <rPh sb="10" eb="12">
      <t>キンガク</t>
    </rPh>
    <rPh sb="13" eb="15">
      <t>ウチワケ</t>
    </rPh>
    <phoneticPr fontId="1"/>
  </si>
  <si>
    <t>５．振込先（※１）</t>
    <rPh sb="2" eb="5">
      <t>フリコミサキ</t>
    </rPh>
    <phoneticPr fontId="1"/>
  </si>
  <si>
    <t>預金種目</t>
    <rPh sb="0" eb="2">
      <t>ヨキン</t>
    </rPh>
    <rPh sb="2" eb="4">
      <t>シュモク</t>
    </rPh>
    <phoneticPr fontId="1"/>
  </si>
  <si>
    <t>口座番号</t>
    <rPh sb="0" eb="2">
      <t>コウザ</t>
    </rPh>
    <rPh sb="2" eb="4">
      <t>バンゴウ</t>
    </rPh>
    <phoneticPr fontId="1"/>
  </si>
  <si>
    <t>口座名義（カタカナ）</t>
    <rPh sb="0" eb="2">
      <t>コウザ</t>
    </rPh>
    <rPh sb="2" eb="4">
      <t>メイギ</t>
    </rPh>
    <phoneticPr fontId="1"/>
  </si>
  <si>
    <t>金融機関名</t>
    <rPh sb="0" eb="2">
      <t>キンユウ</t>
    </rPh>
    <rPh sb="2" eb="4">
      <t>キカン</t>
    </rPh>
    <rPh sb="4" eb="5">
      <t>メイ</t>
    </rPh>
    <phoneticPr fontId="1"/>
  </si>
  <si>
    <t>〒</t>
    <phoneticPr fontId="1"/>
  </si>
  <si>
    <t>電話：</t>
    <rPh sb="0" eb="2">
      <t>デンワ</t>
    </rPh>
    <phoneticPr fontId="1"/>
  </si>
  <si>
    <t>※1　請求者と口座名義が異なる振込先を指定する場合は、本市指定の委任状を提出してください。</t>
    <rPh sb="3" eb="6">
      <t>セイキュウシャ</t>
    </rPh>
    <rPh sb="7" eb="9">
      <t>コウザ</t>
    </rPh>
    <rPh sb="9" eb="11">
      <t>メイギ</t>
    </rPh>
    <rPh sb="12" eb="13">
      <t>コト</t>
    </rPh>
    <rPh sb="15" eb="18">
      <t>フリコミサキ</t>
    </rPh>
    <rPh sb="19" eb="21">
      <t>シテイ</t>
    </rPh>
    <rPh sb="23" eb="25">
      <t>バアイ</t>
    </rPh>
    <rPh sb="27" eb="28">
      <t>ホン</t>
    </rPh>
    <rPh sb="28" eb="29">
      <t>シ</t>
    </rPh>
    <rPh sb="29" eb="31">
      <t>シテイ</t>
    </rPh>
    <rPh sb="32" eb="35">
      <t>イニンジョウ</t>
    </rPh>
    <rPh sb="36" eb="38">
      <t>テイシュツ</t>
    </rPh>
    <phoneticPr fontId="1"/>
  </si>
  <si>
    <t>【</t>
    <phoneticPr fontId="1"/>
  </si>
  <si>
    <t>】</t>
    <phoneticPr fontId="1"/>
  </si>
  <si>
    <t>【請求書参考様式その2】</t>
    <rPh sb="1" eb="4">
      <t>セイキュウショ</t>
    </rPh>
    <rPh sb="4" eb="6">
      <t>サンコウ</t>
    </rPh>
    <rPh sb="6" eb="8">
      <t>ヨウシキ</t>
    </rPh>
    <phoneticPr fontId="1"/>
  </si>
  <si>
    <t>生年月日</t>
    <rPh sb="0" eb="2">
      <t>セイネン</t>
    </rPh>
    <rPh sb="2" eb="4">
      <t>ガッピ</t>
    </rPh>
    <phoneticPr fontId="1"/>
  </si>
  <si>
    <t>フリガナ</t>
    <phoneticPr fontId="1"/>
  </si>
  <si>
    <t>認定子どもの氏名</t>
    <rPh sb="0" eb="2">
      <t>ニンテイ</t>
    </rPh>
    <rPh sb="2" eb="3">
      <t>コ</t>
    </rPh>
    <rPh sb="6" eb="8">
      <t>シメイ</t>
    </rPh>
    <phoneticPr fontId="1"/>
  </si>
  <si>
    <t>幼稚園の契約状況</t>
    <rPh sb="0" eb="3">
      <t>ヨウチエン</t>
    </rPh>
    <rPh sb="4" eb="6">
      <t>ケイヤク</t>
    </rPh>
    <rPh sb="6" eb="8">
      <t>ジョウキョウ</t>
    </rPh>
    <phoneticPr fontId="1"/>
  </si>
  <si>
    <t>契約形態・
契約している利用料</t>
    <rPh sb="0" eb="2">
      <t>ケイヤク</t>
    </rPh>
    <rPh sb="2" eb="4">
      <t>ケイタイ</t>
    </rPh>
    <rPh sb="6" eb="8">
      <t>ケイヤク</t>
    </rPh>
    <rPh sb="12" eb="15">
      <t>リヨウリョウ</t>
    </rPh>
    <phoneticPr fontId="1"/>
  </si>
  <si>
    <t>今年度の入園料が
発生している場合に記入</t>
    <rPh sb="0" eb="3">
      <t>コンネンド</t>
    </rPh>
    <rPh sb="4" eb="7">
      <t>ニュウエンリョウ</t>
    </rPh>
    <rPh sb="9" eb="11">
      <t>ハッセイ</t>
    </rPh>
    <rPh sb="15" eb="17">
      <t>バアイ</t>
    </rPh>
    <rPh sb="18" eb="20">
      <t>キニュウ</t>
    </rPh>
    <phoneticPr fontId="1"/>
  </si>
  <si>
    <t>月途中の入退園</t>
    <rPh sb="0" eb="1">
      <t>ツキ</t>
    </rPh>
    <rPh sb="1" eb="3">
      <t>トチュウ</t>
    </rPh>
    <rPh sb="4" eb="5">
      <t>ニュウ</t>
    </rPh>
    <rPh sb="5" eb="7">
      <t>タイエン</t>
    </rPh>
    <phoneticPr fontId="1"/>
  </si>
  <si>
    <t>レ及び入園（退園）日を記入</t>
    <rPh sb="1" eb="2">
      <t>オヨ</t>
    </rPh>
    <rPh sb="3" eb="5">
      <t>ニュウエン</t>
    </rPh>
    <rPh sb="6" eb="8">
      <t>タイエン</t>
    </rPh>
    <rPh sb="9" eb="10">
      <t>ヒ</t>
    </rPh>
    <rPh sb="11" eb="13">
      <t>キニュウ</t>
    </rPh>
    <phoneticPr fontId="1"/>
  </si>
  <si>
    <t>利用料合計
(d=b+c)</t>
    <rPh sb="0" eb="3">
      <t>リヨウリョウ</t>
    </rPh>
    <rPh sb="3" eb="5">
      <t>ゴウケイ</t>
    </rPh>
    <phoneticPr fontId="1"/>
  </si>
  <si>
    <t>・入園日</t>
    <rPh sb="1" eb="3">
      <t>ニュウエン</t>
    </rPh>
    <rPh sb="3" eb="4">
      <t>ビ</t>
    </rPh>
    <phoneticPr fontId="1"/>
  </si>
  <si>
    <t>・入園料</t>
    <rPh sb="1" eb="3">
      <t>ニュウエン</t>
    </rPh>
    <rPh sb="3" eb="4">
      <t>リョウ</t>
    </rPh>
    <phoneticPr fontId="1"/>
  </si>
  <si>
    <t>(</t>
    <phoneticPr fontId="1"/>
  </si>
  <si>
    <t>納入金額</t>
    <rPh sb="0" eb="2">
      <t>ノウニュウ</t>
    </rPh>
    <rPh sb="2" eb="4">
      <t>キンガク</t>
    </rPh>
    <phoneticPr fontId="1"/>
  </si>
  <si>
    <t>円</t>
    <rPh sb="0" eb="1">
      <t>エン</t>
    </rPh>
    <phoneticPr fontId="1"/>
  </si>
  <si>
    <t>）</t>
    <phoneticPr fontId="1"/>
  </si>
  <si>
    <t>(a)</t>
    <phoneticPr fontId="1"/>
  </si>
  <si>
    <t>（</t>
    <phoneticPr fontId="1"/>
  </si>
  <si>
    <t>）</t>
    <phoneticPr fontId="1"/>
  </si>
  <si>
    <t>日</t>
    <rPh sb="0" eb="1">
      <t>ニチ</t>
    </rPh>
    <phoneticPr fontId="1"/>
  </si>
  <si>
    <t>※施設等利用費請求金額の内訳となる認定子ども全員について記入</t>
    <rPh sb="1" eb="3">
      <t>シセツ</t>
    </rPh>
    <rPh sb="3" eb="4">
      <t>トウ</t>
    </rPh>
    <rPh sb="4" eb="6">
      <t>リヨウ</t>
    </rPh>
    <rPh sb="6" eb="7">
      <t>ヒ</t>
    </rPh>
    <rPh sb="7" eb="9">
      <t>セイキュウ</t>
    </rPh>
    <rPh sb="9" eb="11">
      <t>キンガク</t>
    </rPh>
    <rPh sb="12" eb="14">
      <t>ウチワケ</t>
    </rPh>
    <rPh sb="17" eb="19">
      <t>ニンテイ</t>
    </rPh>
    <rPh sb="19" eb="20">
      <t>コ</t>
    </rPh>
    <rPh sb="22" eb="24">
      <t>ゼンイン</t>
    </rPh>
    <rPh sb="28" eb="30">
      <t>キニュウ</t>
    </rPh>
    <phoneticPr fontId="1"/>
  </si>
  <si>
    <t>【請求書参考様式その２別紙】</t>
    <rPh sb="1" eb="4">
      <t>セイキュウショ</t>
    </rPh>
    <rPh sb="4" eb="6">
      <t>サンコウ</t>
    </rPh>
    <rPh sb="6" eb="8">
      <t>ヨウシキ</t>
    </rPh>
    <rPh sb="11" eb="13">
      <t>ベッシ</t>
    </rPh>
    <phoneticPr fontId="1"/>
  </si>
  <si>
    <t>施設等利用費請求金額内訳書</t>
    <rPh sb="0" eb="2">
      <t>シセツ</t>
    </rPh>
    <rPh sb="2" eb="3">
      <t>トウ</t>
    </rPh>
    <rPh sb="3" eb="5">
      <t>リヨウ</t>
    </rPh>
    <rPh sb="5" eb="6">
      <t>ヒ</t>
    </rPh>
    <rPh sb="6" eb="8">
      <t>セイキュウ</t>
    </rPh>
    <rPh sb="8" eb="10">
      <t>キンガク</t>
    </rPh>
    <rPh sb="10" eb="13">
      <t>ウチワケショ</t>
    </rPh>
    <phoneticPr fontId="1"/>
  </si>
  <si>
    <t>園児氏名</t>
    <rPh sb="0" eb="2">
      <t>エンジ</t>
    </rPh>
    <rPh sb="2" eb="4">
      <t>シメイ</t>
    </rPh>
    <phoneticPr fontId="1"/>
  </si>
  <si>
    <t>学年</t>
    <rPh sb="0" eb="2">
      <t>ガクネン</t>
    </rPh>
    <phoneticPr fontId="1"/>
  </si>
  <si>
    <t>契約形態</t>
    <rPh sb="0" eb="2">
      <t>ケイヤク</t>
    </rPh>
    <rPh sb="2" eb="4">
      <t>ケイタイ</t>
    </rPh>
    <phoneticPr fontId="1"/>
  </si>
  <si>
    <t>月額契約</t>
  </si>
  <si>
    <t>幼稚園の契約状況</t>
    <rPh sb="0" eb="3">
      <t>ヨウチエン</t>
    </rPh>
    <rPh sb="4" eb="8">
      <t>ケイヤクジョウキョウ</t>
    </rPh>
    <phoneticPr fontId="1"/>
  </si>
  <si>
    <t>No.</t>
    <phoneticPr fontId="1"/>
  </si>
  <si>
    <t>園児の情報</t>
    <rPh sb="0" eb="2">
      <t>エンジ</t>
    </rPh>
    <rPh sb="3" eb="5">
      <t>ジョウホウ</t>
    </rPh>
    <phoneticPr fontId="1"/>
  </si>
  <si>
    <t>○</t>
  </si>
  <si>
    <t>入園料</t>
    <rPh sb="0" eb="3">
      <t>ニュウエンリョウ</t>
    </rPh>
    <phoneticPr fontId="1"/>
  </si>
  <si>
    <t>保育料</t>
    <rPh sb="0" eb="3">
      <t>ホイクリョウ</t>
    </rPh>
    <phoneticPr fontId="1"/>
  </si>
  <si>
    <t>異動内容</t>
    <rPh sb="0" eb="2">
      <t>イドウ</t>
    </rPh>
    <rPh sb="2" eb="4">
      <t>ナイヨウ</t>
    </rPh>
    <phoneticPr fontId="1"/>
  </si>
  <si>
    <t>1号</t>
  </si>
  <si>
    <t>認定
種別</t>
    <rPh sb="0" eb="2">
      <t>ニンテイ</t>
    </rPh>
    <rPh sb="3" eb="5">
      <t>シュベツ</t>
    </rPh>
    <phoneticPr fontId="1"/>
  </si>
  <si>
    <t>年度内
入園</t>
    <rPh sb="0" eb="3">
      <t>ネンドナイ</t>
    </rPh>
    <rPh sb="4" eb="6">
      <t>ニュウエン</t>
    </rPh>
    <phoneticPr fontId="1"/>
  </si>
  <si>
    <t>在籍
月数</t>
    <rPh sb="0" eb="2">
      <t>ザイセキ</t>
    </rPh>
    <rPh sb="3" eb="4">
      <t>ガツ</t>
    </rPh>
    <rPh sb="4" eb="5">
      <t>スウ</t>
    </rPh>
    <phoneticPr fontId="1"/>
  </si>
  <si>
    <t>在籍
月数</t>
    <rPh sb="0" eb="2">
      <t>ザイセキ</t>
    </rPh>
    <rPh sb="3" eb="5">
      <t>ツキスウ</t>
    </rPh>
    <phoneticPr fontId="1"/>
  </si>
  <si>
    <t>提供した日</t>
    <rPh sb="0" eb="2">
      <t>テイキョウ</t>
    </rPh>
    <rPh sb="4" eb="5">
      <t>ヒ</t>
    </rPh>
    <phoneticPr fontId="1"/>
  </si>
  <si>
    <t>提供時間</t>
    <rPh sb="0" eb="2">
      <t>テイキョウ</t>
    </rPh>
    <rPh sb="2" eb="4">
      <t>ジカン</t>
    </rPh>
    <phoneticPr fontId="1"/>
  </si>
  <si>
    <t>始</t>
    <rPh sb="0" eb="1">
      <t>ハジ</t>
    </rPh>
    <phoneticPr fontId="1"/>
  </si>
  <si>
    <t>終</t>
    <rPh sb="0" eb="1">
      <t>オ</t>
    </rPh>
    <phoneticPr fontId="1"/>
  </si>
  <si>
    <t>No.</t>
    <phoneticPr fontId="1"/>
  </si>
  <si>
    <t>保育料</t>
    <rPh sb="0" eb="3">
      <t>ホイクリョウ</t>
    </rPh>
    <phoneticPr fontId="1"/>
  </si>
  <si>
    <t>利用料（月額換算）</t>
    <rPh sb="0" eb="3">
      <t>リヨウリョウ</t>
    </rPh>
    <rPh sb="4" eb="6">
      <t>ゲツガク</t>
    </rPh>
    <rPh sb="6" eb="8">
      <t>カンサン</t>
    </rPh>
    <phoneticPr fontId="1"/>
  </si>
  <si>
    <t>月額上限額</t>
    <rPh sb="0" eb="2">
      <t>ゲツガク</t>
    </rPh>
    <rPh sb="2" eb="4">
      <t>ジョウゲン</t>
    </rPh>
    <rPh sb="4" eb="5">
      <t>ガク</t>
    </rPh>
    <phoneticPr fontId="1"/>
  </si>
  <si>
    <t>請求額</t>
    <rPh sb="0" eb="2">
      <t>セイキュウ</t>
    </rPh>
    <rPh sb="2" eb="3">
      <t>ガク</t>
    </rPh>
    <phoneticPr fontId="1"/>
  </si>
  <si>
    <t>入園年月日</t>
    <rPh sb="0" eb="2">
      <t>ニュウエン</t>
    </rPh>
    <rPh sb="2" eb="5">
      <t>ネンガッピ</t>
    </rPh>
    <rPh sb="4" eb="5">
      <t>ビ</t>
    </rPh>
    <phoneticPr fontId="1"/>
  </si>
  <si>
    <t>異動年月日</t>
    <rPh sb="0" eb="2">
      <t>イドウ</t>
    </rPh>
    <rPh sb="2" eb="5">
      <t>ネンガッピ</t>
    </rPh>
    <phoneticPr fontId="1"/>
  </si>
  <si>
    <t>請求金額</t>
    <rPh sb="0" eb="2">
      <t>セイキュウ</t>
    </rPh>
    <rPh sb="2" eb="4">
      <t>キンガク</t>
    </rPh>
    <phoneticPr fontId="1"/>
  </si>
  <si>
    <t>基準日</t>
    <rPh sb="0" eb="3">
      <t>キジュンビ</t>
    </rPh>
    <phoneticPr fontId="1"/>
  </si>
  <si>
    <t>証明します。</t>
    <rPh sb="0" eb="2">
      <t>ショウメイ</t>
    </rPh>
    <phoneticPr fontId="1"/>
  </si>
  <si>
    <t>設置者名称</t>
    <rPh sb="0" eb="3">
      <t>セッチシャ</t>
    </rPh>
    <rPh sb="3" eb="5">
      <t>メイショウ</t>
    </rPh>
    <phoneticPr fontId="1"/>
  </si>
  <si>
    <t>主たる事務所の所在地</t>
    <rPh sb="0" eb="1">
      <t>シュ</t>
    </rPh>
    <rPh sb="3" eb="5">
      <t>ジム</t>
    </rPh>
    <rPh sb="5" eb="6">
      <t>ショ</t>
    </rPh>
    <rPh sb="7" eb="10">
      <t>ショザイチ</t>
    </rPh>
    <phoneticPr fontId="1"/>
  </si>
  <si>
    <t>代表者職氏名</t>
    <rPh sb="0" eb="3">
      <t>ダイヒョウシャ</t>
    </rPh>
    <rPh sb="3" eb="4">
      <t>ショク</t>
    </rPh>
    <rPh sb="4" eb="6">
      <t>シメイ</t>
    </rPh>
    <phoneticPr fontId="1"/>
  </si>
  <si>
    <t>施設・事業所の名称</t>
    <rPh sb="0" eb="2">
      <t>シセツ</t>
    </rPh>
    <rPh sb="3" eb="6">
      <t>ジギョウショ</t>
    </rPh>
    <rPh sb="7" eb="9">
      <t>メイショウ</t>
    </rPh>
    <phoneticPr fontId="1"/>
  </si>
  <si>
    <t>銀行</t>
  </si>
  <si>
    <t>支店</t>
  </si>
  <si>
    <t>特定子ども・子育て支援提供証明書（市町村提出用）</t>
    <rPh sb="0" eb="3">
      <t>トクテイコ</t>
    </rPh>
    <rPh sb="6" eb="8">
      <t>コソダ</t>
    </rPh>
    <rPh sb="9" eb="11">
      <t>シエン</t>
    </rPh>
    <rPh sb="11" eb="13">
      <t>テイキョウ</t>
    </rPh>
    <rPh sb="13" eb="16">
      <t>ショウメイショ</t>
    </rPh>
    <rPh sb="17" eb="20">
      <t>シチョウソン</t>
    </rPh>
    <rPh sb="20" eb="23">
      <t>テイシュツヨウ</t>
    </rPh>
    <phoneticPr fontId="1"/>
  </si>
  <si>
    <t>別紙「施設等利用費請求金額内訳書」のとおり</t>
    <rPh sb="0" eb="2">
      <t>ベッシ</t>
    </rPh>
    <rPh sb="3" eb="5">
      <t>シセツ</t>
    </rPh>
    <rPh sb="5" eb="6">
      <t>トウ</t>
    </rPh>
    <rPh sb="6" eb="8">
      <t>リヨウ</t>
    </rPh>
    <rPh sb="8" eb="9">
      <t>ヒ</t>
    </rPh>
    <rPh sb="9" eb="11">
      <t>セイキュウ</t>
    </rPh>
    <rPh sb="11" eb="13">
      <t>キンガク</t>
    </rPh>
    <rPh sb="13" eb="16">
      <t>ウチワケショ</t>
    </rPh>
    <phoneticPr fontId="1"/>
  </si>
  <si>
    <t>幼稚園名:</t>
    <rPh sb="0" eb="3">
      <t>ヨウチエン</t>
    </rPh>
    <rPh sb="3" eb="4">
      <t>メイ</t>
    </rPh>
    <phoneticPr fontId="1"/>
  </si>
  <si>
    <t>利用料分</t>
    <rPh sb="0" eb="3">
      <t>リヨウリョウ</t>
    </rPh>
    <rPh sb="3" eb="4">
      <t>ブン</t>
    </rPh>
    <phoneticPr fontId="1"/>
  </si>
  <si>
    <t>調整分</t>
    <rPh sb="0" eb="2">
      <t>チョウセイ</t>
    </rPh>
    <rPh sb="2" eb="3">
      <t>ブン</t>
    </rPh>
    <phoneticPr fontId="1"/>
  </si>
  <si>
    <t>円</t>
    <rPh sb="0" eb="1">
      <t>エン</t>
    </rPh>
    <phoneticPr fontId="1"/>
  </si>
  <si>
    <t>例</t>
    <rPh sb="0" eb="1">
      <t>レイ</t>
    </rPh>
    <phoneticPr fontId="1"/>
  </si>
  <si>
    <t>野々市　椿</t>
    <rPh sb="0" eb="3">
      <t>ノノイチ</t>
    </rPh>
    <rPh sb="4" eb="5">
      <t>ツバキ</t>
    </rPh>
    <phoneticPr fontId="1"/>
  </si>
  <si>
    <t>ノノイチ　ツバキ</t>
    <phoneticPr fontId="1"/>
  </si>
  <si>
    <t>令和</t>
  </si>
  <si>
    <t>年</t>
    <rPh sb="0" eb="1">
      <t>ネン</t>
    </rPh>
    <phoneticPr fontId="1"/>
  </si>
  <si>
    <t>月</t>
    <rPh sb="0" eb="1">
      <t>ガツ</t>
    </rPh>
    <phoneticPr fontId="1"/>
  </si>
  <si>
    <t>日</t>
    <rPh sb="0" eb="1">
      <t>ニチ</t>
    </rPh>
    <phoneticPr fontId="1"/>
  </si>
  <si>
    <t>差額調整</t>
    <rPh sb="0" eb="2">
      <t>サガク</t>
    </rPh>
    <rPh sb="2" eb="4">
      <t>チョウセイ</t>
    </rPh>
    <phoneticPr fontId="1"/>
  </si>
  <si>
    <t>　下記のとおり認定子どもに対し、特定子ども・子育て支援を提供したことを</t>
    <rPh sb="1" eb="3">
      <t>カキ</t>
    </rPh>
    <rPh sb="7" eb="9">
      <t>ニンテイ</t>
    </rPh>
    <rPh sb="9" eb="10">
      <t>コ</t>
    </rPh>
    <rPh sb="13" eb="14">
      <t>タイ</t>
    </rPh>
    <rPh sb="16" eb="18">
      <t>トクテイ</t>
    </rPh>
    <rPh sb="18" eb="19">
      <t>コ</t>
    </rPh>
    <rPh sb="22" eb="24">
      <t>コソダ</t>
    </rPh>
    <rPh sb="25" eb="27">
      <t>シエン</t>
    </rPh>
    <rPh sb="28" eb="30">
      <t>テイキョウ</t>
    </rPh>
    <phoneticPr fontId="1"/>
  </si>
  <si>
    <t>休園</t>
  </si>
  <si>
    <t xml:space="preserve">入園料月額換算額
(b=a/12) </t>
    <rPh sb="0" eb="3">
      <t>ニュウエンリョウ</t>
    </rPh>
    <rPh sb="3" eb="5">
      <t>ゲツガク</t>
    </rPh>
    <rPh sb="5" eb="7">
      <t>カンサン</t>
    </rPh>
    <rPh sb="7" eb="8">
      <t>ガク</t>
    </rPh>
    <phoneticPr fontId="1"/>
  </si>
  <si>
    <t>月額利用料（保育料）
(c）</t>
    <rPh sb="0" eb="2">
      <t>ゲツガク</t>
    </rPh>
    <rPh sb="2" eb="5">
      <t>リヨウリョウ</t>
    </rPh>
    <rPh sb="6" eb="9">
      <t>ホイクリョウ</t>
    </rPh>
    <phoneticPr fontId="1"/>
  </si>
  <si>
    <t>月額上限額(e）</t>
    <rPh sb="0" eb="2">
      <t>ゲツガク</t>
    </rPh>
    <rPh sb="2" eb="4">
      <t>ジョウゲン</t>
    </rPh>
    <rPh sb="4" eb="5">
      <t>ガク</t>
    </rPh>
    <phoneticPr fontId="1"/>
  </si>
  <si>
    <t>請求額（dとeを比較して小さい方＋差額調整額）</t>
    <rPh sb="0" eb="2">
      <t>セイキュウ</t>
    </rPh>
    <rPh sb="2" eb="3">
      <t>ガク</t>
    </rPh>
    <rPh sb="8" eb="10">
      <t>ヒカク</t>
    </rPh>
    <rPh sb="12" eb="13">
      <t>チイ</t>
    </rPh>
    <rPh sb="15" eb="16">
      <t>ホウ</t>
    </rPh>
    <rPh sb="17" eb="19">
      <t>サガク</t>
    </rPh>
    <rPh sb="19" eb="21">
      <t>チョウセイ</t>
    </rPh>
    <rPh sb="21" eb="22">
      <t>ガク</t>
    </rPh>
    <phoneticPr fontId="1"/>
  </si>
  <si>
    <t>４月分</t>
    <rPh sb="1" eb="2">
      <t>ガツ</t>
    </rPh>
    <rPh sb="2" eb="3">
      <t>ブン</t>
    </rPh>
    <phoneticPr fontId="1"/>
  </si>
  <si>
    <t>５月分</t>
    <rPh sb="1" eb="2">
      <t>ガツ</t>
    </rPh>
    <rPh sb="2" eb="3">
      <t>ブン</t>
    </rPh>
    <phoneticPr fontId="1"/>
  </si>
  <si>
    <t>６月分</t>
    <rPh sb="1" eb="2">
      <t>ガツ</t>
    </rPh>
    <rPh sb="2" eb="3">
      <t>ブン</t>
    </rPh>
    <phoneticPr fontId="1"/>
  </si>
  <si>
    <t>７月分</t>
    <rPh sb="1" eb="2">
      <t>ガツ</t>
    </rPh>
    <rPh sb="2" eb="3">
      <t>ブン</t>
    </rPh>
    <phoneticPr fontId="1"/>
  </si>
  <si>
    <t>８月分</t>
    <rPh sb="1" eb="2">
      <t>ガツ</t>
    </rPh>
    <rPh sb="2" eb="3">
      <t>ブン</t>
    </rPh>
    <phoneticPr fontId="1"/>
  </si>
  <si>
    <t>９月分</t>
    <rPh sb="1" eb="2">
      <t>ガツ</t>
    </rPh>
    <rPh sb="2" eb="3">
      <t>ブン</t>
    </rPh>
    <phoneticPr fontId="1"/>
  </si>
  <si>
    <t>１月分</t>
    <rPh sb="1" eb="2">
      <t>ガツ</t>
    </rPh>
    <rPh sb="2" eb="3">
      <t>ブン</t>
    </rPh>
    <phoneticPr fontId="1"/>
  </si>
  <si>
    <t>２月分</t>
    <rPh sb="1" eb="2">
      <t>ガツ</t>
    </rPh>
    <rPh sb="2" eb="3">
      <t>ブン</t>
    </rPh>
    <phoneticPr fontId="1"/>
  </si>
  <si>
    <t>３月分</t>
    <rPh sb="1" eb="2">
      <t>ガツ</t>
    </rPh>
    <rPh sb="2" eb="3">
      <t>ブン</t>
    </rPh>
    <phoneticPr fontId="1"/>
  </si>
  <si>
    <t>締切日</t>
    <rPh sb="0" eb="3">
      <t>シメキリビ</t>
    </rPh>
    <phoneticPr fontId="1"/>
  </si>
  <si>
    <t>請求月</t>
    <rPh sb="0" eb="2">
      <t>セイキュウ</t>
    </rPh>
    <rPh sb="2" eb="3">
      <t>ツキ</t>
    </rPh>
    <phoneticPr fontId="1"/>
  </si>
  <si>
    <t>　　①園入力用名簿シート を入力</t>
    <rPh sb="3" eb="4">
      <t>エン</t>
    </rPh>
    <rPh sb="4" eb="6">
      <t>ニュウリョク</t>
    </rPh>
    <rPh sb="6" eb="7">
      <t>ヨウ</t>
    </rPh>
    <rPh sb="7" eb="9">
      <t>メイボ</t>
    </rPh>
    <rPh sb="14" eb="16">
      <t>ニュウリョク</t>
    </rPh>
    <phoneticPr fontId="1"/>
  </si>
  <si>
    <t>　　②請求書シート を入力</t>
    <rPh sb="3" eb="6">
      <t>セイキュウショ</t>
    </rPh>
    <rPh sb="11" eb="13">
      <t>ニュウリョク</t>
    </rPh>
    <phoneticPr fontId="1"/>
  </si>
  <si>
    <t>このファイルは、子育てのための施設等利用給付に係る請求書フォーマット（野々市市版）です。</t>
    <rPh sb="8" eb="10">
      <t>コソダ</t>
    </rPh>
    <rPh sb="15" eb="22">
      <t>シセツトウリヨウキュウフ</t>
    </rPh>
    <rPh sb="23" eb="24">
      <t>カカ</t>
    </rPh>
    <rPh sb="25" eb="28">
      <t>セイキュウショ</t>
    </rPh>
    <rPh sb="35" eb="39">
      <t>ノノイチシ</t>
    </rPh>
    <rPh sb="39" eb="40">
      <t>バン</t>
    </rPh>
    <phoneticPr fontId="1"/>
  </si>
  <si>
    <t>請求の基本的な流れ</t>
    <rPh sb="0" eb="2">
      <t>セイキュウ</t>
    </rPh>
    <rPh sb="3" eb="6">
      <t>キホンテキ</t>
    </rPh>
    <rPh sb="7" eb="8">
      <t>ナガ</t>
    </rPh>
    <phoneticPr fontId="1"/>
  </si>
  <si>
    <t>提出期限は、翌月５日を基本とします。（詳しくは、下表参照）</t>
    <rPh sb="0" eb="2">
      <t>テイシュツ</t>
    </rPh>
    <rPh sb="2" eb="4">
      <t>キゲン</t>
    </rPh>
    <rPh sb="6" eb="8">
      <t>ヨクゲツ</t>
    </rPh>
    <rPh sb="9" eb="10">
      <t>ニチ</t>
    </rPh>
    <rPh sb="11" eb="13">
      <t>キホン</t>
    </rPh>
    <rPh sb="19" eb="20">
      <t>クワ</t>
    </rPh>
    <rPh sb="24" eb="26">
      <t>カヒョウ</t>
    </rPh>
    <rPh sb="26" eb="28">
      <t>サンショウ</t>
    </rPh>
    <phoneticPr fontId="1"/>
  </si>
  <si>
    <t>支払予定日は、翌月の末払いを基本とします。</t>
    <rPh sb="0" eb="2">
      <t>シハライ</t>
    </rPh>
    <rPh sb="2" eb="4">
      <t>ヨテイ</t>
    </rPh>
    <rPh sb="4" eb="5">
      <t>ビ</t>
    </rPh>
    <rPh sb="7" eb="9">
      <t>ヨクゲツ</t>
    </rPh>
    <rPh sb="10" eb="11">
      <t>マツ</t>
    </rPh>
    <rPh sb="11" eb="12">
      <t>バラ</t>
    </rPh>
    <rPh sb="14" eb="16">
      <t>キホン</t>
    </rPh>
    <phoneticPr fontId="1"/>
  </si>
  <si>
    <t>規定に基づき、野々市市に居住している施設等利用給付認定保護者に代わり、施設等利用費を下記の通り申請</t>
    <rPh sb="0" eb="2">
      <t>キテイ</t>
    </rPh>
    <rPh sb="3" eb="4">
      <t>モト</t>
    </rPh>
    <rPh sb="7" eb="11">
      <t>ノノイチシ</t>
    </rPh>
    <rPh sb="12" eb="14">
      <t>キョジュウ</t>
    </rPh>
    <rPh sb="18" eb="20">
      <t>シセツ</t>
    </rPh>
    <rPh sb="20" eb="21">
      <t>トウ</t>
    </rPh>
    <rPh sb="21" eb="23">
      <t>リヨウ</t>
    </rPh>
    <rPh sb="23" eb="25">
      <t>キュウフ</t>
    </rPh>
    <rPh sb="25" eb="27">
      <t>ニンテイ</t>
    </rPh>
    <rPh sb="27" eb="29">
      <t>ホゴ</t>
    </rPh>
    <rPh sb="29" eb="30">
      <t>シャ</t>
    </rPh>
    <rPh sb="31" eb="32">
      <t>カ</t>
    </rPh>
    <rPh sb="35" eb="41">
      <t>シセツトウリヨウヒ</t>
    </rPh>
    <rPh sb="42" eb="44">
      <t>カキ</t>
    </rPh>
    <rPh sb="45" eb="46">
      <t>トオ</t>
    </rPh>
    <rPh sb="47" eb="49">
      <t>シンセイ</t>
    </rPh>
    <phoneticPr fontId="1"/>
  </si>
  <si>
    <t>11月分</t>
    <rPh sb="2" eb="3">
      <t>ガツ</t>
    </rPh>
    <rPh sb="3" eb="4">
      <t>ブン</t>
    </rPh>
    <phoneticPr fontId="1"/>
  </si>
  <si>
    <t>10月分</t>
    <rPh sb="2" eb="3">
      <t>ガツ</t>
    </rPh>
    <rPh sb="3" eb="4">
      <t>ブン</t>
    </rPh>
    <phoneticPr fontId="1"/>
  </si>
  <si>
    <t>12月分</t>
    <rPh sb="2" eb="3">
      <t>ガツ</t>
    </rPh>
    <rPh sb="3" eb="4">
      <t>ブン</t>
    </rPh>
    <phoneticPr fontId="1"/>
  </si>
  <si>
    <t>差額調整
（前月まで）</t>
    <rPh sb="0" eb="2">
      <t>サガク</t>
    </rPh>
    <rPh sb="2" eb="4">
      <t>チョウセイ</t>
    </rPh>
    <rPh sb="6" eb="8">
      <t>ゼンゲツ</t>
    </rPh>
    <phoneticPr fontId="1"/>
  </si>
  <si>
    <t>差額調整
（当月）</t>
    <rPh sb="0" eb="2">
      <t>サガク</t>
    </rPh>
    <rPh sb="2" eb="4">
      <t>チョウセイ</t>
    </rPh>
    <rPh sb="6" eb="8">
      <t>トウゲツ</t>
    </rPh>
    <phoneticPr fontId="1"/>
  </si>
  <si>
    <t>請求月</t>
    <rPh sb="0" eb="2">
      <t>セイキュウ</t>
    </rPh>
    <rPh sb="2" eb="3">
      <t>ツキ</t>
    </rPh>
    <phoneticPr fontId="1"/>
  </si>
  <si>
    <t>↓入園月</t>
    <rPh sb="1" eb="3">
      <t>ニュウエン</t>
    </rPh>
    <rPh sb="3" eb="4">
      <t>ツキ</t>
    </rPh>
    <phoneticPr fontId="1"/>
  </si>
  <si>
    <t>←退園月</t>
    <rPh sb="1" eb="3">
      <t>タイエン</t>
    </rPh>
    <rPh sb="3" eb="4">
      <t>ツキ</t>
    </rPh>
    <phoneticPr fontId="1"/>
  </si>
  <si>
    <t>■ 請求月以前の在籍月数（R2年度以降用）</t>
    <rPh sb="2" eb="4">
      <t>セイキュウ</t>
    </rPh>
    <rPh sb="4" eb="5">
      <t>ツキ</t>
    </rPh>
    <rPh sb="5" eb="7">
      <t>イゼン</t>
    </rPh>
    <rPh sb="8" eb="10">
      <t>ザイセキ</t>
    </rPh>
    <rPh sb="10" eb="12">
      <t>ツキスウ</t>
    </rPh>
    <rPh sb="15" eb="17">
      <t>ネンド</t>
    </rPh>
    <rPh sb="17" eb="19">
      <t>イコウ</t>
    </rPh>
    <rPh sb="19" eb="20">
      <t>ヨウ</t>
    </rPh>
    <phoneticPr fontId="1"/>
  </si>
  <si>
    <t>上乗せ
月数</t>
    <rPh sb="0" eb="2">
      <t>ウワノ</t>
    </rPh>
    <rPh sb="4" eb="6">
      <t>ツキスウ</t>
    </rPh>
    <phoneticPr fontId="1"/>
  </si>
  <si>
    <t>私立幼稚園（新制度移行園除く）、国立大学附属幼稚園、特別支援学校幼稚部が</t>
    <rPh sb="0" eb="2">
      <t>シリツ</t>
    </rPh>
    <rPh sb="2" eb="5">
      <t>ヨウチエン</t>
    </rPh>
    <rPh sb="6" eb="9">
      <t>シンセイド</t>
    </rPh>
    <rPh sb="9" eb="11">
      <t>イコウ</t>
    </rPh>
    <rPh sb="11" eb="12">
      <t>エン</t>
    </rPh>
    <rPh sb="12" eb="13">
      <t>ノゾ</t>
    </rPh>
    <rPh sb="16" eb="18">
      <t>コクリツ</t>
    </rPh>
    <rPh sb="18" eb="20">
      <t>ダイガク</t>
    </rPh>
    <rPh sb="20" eb="22">
      <t>フゾク</t>
    </rPh>
    <rPh sb="22" eb="25">
      <t>ヨウチエン</t>
    </rPh>
    <rPh sb="26" eb="28">
      <t>トクベツ</t>
    </rPh>
    <rPh sb="28" eb="30">
      <t>シエン</t>
    </rPh>
    <rPh sb="30" eb="32">
      <t>ガッコウ</t>
    </rPh>
    <rPh sb="32" eb="35">
      <t>ヨウチブ</t>
    </rPh>
    <phoneticPr fontId="1"/>
  </si>
  <si>
    <t xml:space="preserve">】 </t>
    <phoneticPr fontId="1"/>
  </si>
  <si>
    <t>：全園児入力が必要なセル</t>
    <rPh sb="1" eb="2">
      <t>ゼン</t>
    </rPh>
    <rPh sb="2" eb="4">
      <t>エンジ</t>
    </rPh>
    <rPh sb="4" eb="6">
      <t>ニュウリョク</t>
    </rPh>
    <rPh sb="7" eb="9">
      <t>ヒツヨウ</t>
    </rPh>
    <phoneticPr fontId="1"/>
  </si>
  <si>
    <t>：該当する園児のみ入力が必要なセル</t>
    <rPh sb="1" eb="3">
      <t>ガイトウ</t>
    </rPh>
    <rPh sb="5" eb="7">
      <t>エンジ</t>
    </rPh>
    <rPh sb="9" eb="11">
      <t>ニュウリョク</t>
    </rPh>
    <rPh sb="12" eb="14">
      <t>ヒツヨウ</t>
    </rPh>
    <phoneticPr fontId="1"/>
  </si>
  <si>
    <t>　　①～③のシートを印刷し、教育総務課へ提出（押印は不要になりました）</t>
    <rPh sb="10" eb="12">
      <t>インサツ</t>
    </rPh>
    <rPh sb="14" eb="16">
      <t>キョウイク</t>
    </rPh>
    <rPh sb="16" eb="19">
      <t>ソウムカ</t>
    </rPh>
    <rPh sb="20" eb="22">
      <t>テイシュツ</t>
    </rPh>
    <rPh sb="23" eb="25">
      <t>オウイン</t>
    </rPh>
    <rPh sb="26" eb="28">
      <t>フヨウ</t>
    </rPh>
    <phoneticPr fontId="1"/>
  </si>
  <si>
    <t>担当者氏名</t>
    <rPh sb="0" eb="3">
      <t>タントウシャ</t>
    </rPh>
    <rPh sb="3" eb="5">
      <t>シメイ</t>
    </rPh>
    <phoneticPr fontId="1"/>
  </si>
  <si>
    <t>連絡先</t>
    <rPh sb="0" eb="3">
      <t>レンラクサキ</t>
    </rPh>
    <phoneticPr fontId="1"/>
  </si>
  <si>
    <t>平日日数</t>
    <rPh sb="0" eb="2">
      <t>ヘイジツ</t>
    </rPh>
    <rPh sb="2" eb="4">
      <t>ニッスウ</t>
    </rPh>
    <phoneticPr fontId="1"/>
  </si>
  <si>
    <t>平日
提供
日数</t>
    <rPh sb="0" eb="2">
      <t>ヘイジツ</t>
    </rPh>
    <rPh sb="3" eb="5">
      <t>テイキョウ</t>
    </rPh>
    <rPh sb="6" eb="8">
      <t>ニッスウ</t>
    </rPh>
    <phoneticPr fontId="1"/>
  </si>
  <si>
    <t>４月分</t>
  </si>
  <si>
    <t>ver20240401</t>
    <phoneticPr fontId="1"/>
  </si>
  <si>
    <t>令和７年度　請求書提出締切日　（野々市市）</t>
    <rPh sb="0" eb="2">
      <t>レイワ</t>
    </rPh>
    <rPh sb="3" eb="5">
      <t>ネンド</t>
    </rPh>
    <rPh sb="4" eb="5">
      <t>ド</t>
    </rPh>
    <rPh sb="6" eb="9">
      <t>セイキュウショ</t>
    </rPh>
    <rPh sb="9" eb="11">
      <t>テイシュツ</t>
    </rPh>
    <rPh sb="11" eb="13">
      <t>シメキリ</t>
    </rPh>
    <rPh sb="13" eb="14">
      <t>ビ</t>
    </rPh>
    <rPh sb="16" eb="20">
      <t>ノノイチシ</t>
    </rPh>
    <phoneticPr fontId="1"/>
  </si>
  <si>
    <t>令和７年</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</si>
</sst>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quot;月&quot;"/>
    <numFmt numFmtId="178" formatCode="#,##0&quot;歳&quot;"/>
    <numFmt numFmtId="179" formatCode="#,##0&quot;円&quot;"/>
    <numFmt numFmtId="180" formatCode="[$-411]ggge&quot;年&quot;m&quot;月&quot;d&quot;日&quot;;@"/>
    <numFmt numFmtId="181" formatCode="h:mm;@"/>
    <numFmt numFmtId="182" formatCode="#,##0&quot;日&quot;"/>
    <numFmt numFmtId="183" formatCode="#,##0;&quot;△ &quot;#,##0"/>
    <numFmt numFmtId="184" formatCode="m&quot;月&quot;d&quot;日&quot;\(aaa\)"/>
  </numFmts>
  <fonts count="26">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b/>
      <sz val="14"/>
      <color theme="1"/>
      <name val="ＭＳ 明朝"/>
      <family val="1"/>
      <charset val="128"/>
    </font>
    <font>
      <sz val="10"/>
      <color theme="1"/>
      <name val="Meiryo UI"/>
      <family val="3"/>
      <charset val="128"/>
    </font>
    <font>
      <sz val="8"/>
      <color theme="1"/>
      <name val="ＭＳ 明朝"/>
      <family val="1"/>
      <charset val="128"/>
    </font>
    <font>
      <sz val="9"/>
      <color theme="1"/>
      <name val="Meiryo UI"/>
      <family val="3"/>
      <charset val="128"/>
    </font>
    <font>
      <b/>
      <sz val="10"/>
      <color theme="1"/>
      <name val="ＭＳ ゴシック"/>
      <family val="3"/>
      <charset val="128"/>
    </font>
    <font>
      <b/>
      <sz val="12"/>
      <color theme="1"/>
      <name val="ＭＳ 明朝"/>
      <family val="1"/>
      <charset val="128"/>
    </font>
    <font>
      <sz val="11"/>
      <color theme="1"/>
      <name val="Meiryo UI"/>
      <family val="3"/>
      <charset val="128"/>
    </font>
    <font>
      <sz val="9"/>
      <color theme="1"/>
      <name val="OCRB"/>
      <family val="3"/>
    </font>
    <font>
      <sz val="9"/>
      <color indexed="81"/>
      <name val="ＭＳ Ｐゴシック"/>
      <family val="3"/>
      <charset val="128"/>
    </font>
    <font>
      <b/>
      <sz val="9"/>
      <color indexed="81"/>
      <name val="ＭＳ Ｐゴシック"/>
      <family val="3"/>
      <charset val="128"/>
    </font>
    <font>
      <sz val="10"/>
      <name val="Meiryo UI"/>
      <family val="3"/>
      <charset val="128"/>
    </font>
    <font>
      <sz val="10"/>
      <color theme="0"/>
      <name val="Meiryo UI"/>
      <family val="3"/>
      <charset val="128"/>
    </font>
    <font>
      <sz val="11"/>
      <color theme="0"/>
      <name val="ＭＳ Ｐゴシック"/>
      <family val="2"/>
      <charset val="128"/>
      <scheme val="minor"/>
    </font>
    <font>
      <sz val="11"/>
      <name val="ＭＳ Ｐゴシック"/>
      <family val="2"/>
      <charset val="128"/>
      <scheme val="minor"/>
    </font>
    <font>
      <sz val="11"/>
      <name val="ＭＳ Ｐゴシック"/>
      <family val="3"/>
      <charset val="128"/>
      <scheme val="minor"/>
    </font>
    <font>
      <sz val="9"/>
      <name val="ＭＳ 明朝"/>
      <family val="1"/>
      <charset val="128"/>
    </font>
    <font>
      <sz val="11"/>
      <color rgb="FFFF0000"/>
      <name val="ＭＳ Ｐゴシック"/>
      <family val="2"/>
      <charset val="128"/>
      <scheme val="minor"/>
    </font>
    <font>
      <sz val="10"/>
      <color theme="0" tint="-0.34998626667073579"/>
      <name val="Meiryo UI"/>
      <family val="3"/>
      <charset val="128"/>
    </font>
    <font>
      <sz val="9"/>
      <color theme="0" tint="-0.34998626667073579"/>
      <name val="Meiryo UI"/>
      <family val="3"/>
      <charset val="128"/>
    </font>
    <font>
      <sz val="10"/>
      <color theme="1"/>
      <name val="ＭＳ Ｐゴシック"/>
      <family val="2"/>
      <charset val="128"/>
      <scheme val="minor"/>
    </font>
    <font>
      <sz val="9"/>
      <color theme="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CC66"/>
        <bgColor indexed="64"/>
      </patternFill>
    </fill>
    <fill>
      <patternFill patternType="solid">
        <fgColor rgb="FFFFFF99"/>
        <bgColor indexed="64"/>
      </patternFill>
    </fill>
  </fills>
  <borders count="9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right/>
      <top style="hair">
        <color auto="1"/>
      </top>
      <bottom/>
      <diagonal/>
    </border>
    <border>
      <left style="medium">
        <color auto="1"/>
      </left>
      <right/>
      <top style="hair">
        <color auto="1"/>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hair">
        <color auto="1"/>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medium">
        <color auto="1"/>
      </bottom>
      <diagonal/>
    </border>
    <border>
      <left style="hair">
        <color auto="1"/>
      </left>
      <right/>
      <top style="medium">
        <color auto="1"/>
      </top>
      <bottom/>
      <diagonal/>
    </border>
    <border>
      <left style="hair">
        <color auto="1"/>
      </left>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medium">
        <color auto="1"/>
      </bottom>
      <diagonal/>
    </border>
    <border>
      <left/>
      <right style="medium">
        <color auto="1"/>
      </right>
      <top style="hair">
        <color auto="1"/>
      </top>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style="hair">
        <color auto="1"/>
      </right>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indexed="64"/>
      </left>
      <right style="thin">
        <color indexed="64"/>
      </right>
      <top/>
      <bottom style="hair">
        <color auto="1"/>
      </bottom>
      <diagonal/>
    </border>
    <border>
      <left/>
      <right style="hair">
        <color indexed="64"/>
      </right>
      <top style="thin">
        <color indexed="64"/>
      </top>
      <bottom style="hair">
        <color indexed="64"/>
      </bottom>
      <diagonal/>
    </border>
    <border>
      <left/>
      <right/>
      <top style="hair">
        <color auto="1"/>
      </top>
      <bottom style="hair">
        <color auto="1"/>
      </bottom>
      <diagonal/>
    </border>
    <border>
      <left/>
      <right/>
      <top style="hair">
        <color auto="1"/>
      </top>
      <bottom style="thin">
        <color indexed="64"/>
      </bottom>
      <diagonal/>
    </border>
    <border>
      <left style="thin">
        <color indexed="64"/>
      </left>
      <right style="hair">
        <color indexed="64"/>
      </right>
      <top style="thin">
        <color indexed="64"/>
      </top>
      <bottom style="hair">
        <color indexed="64"/>
      </bottom>
      <diagonal/>
    </border>
    <border>
      <left style="hair">
        <color auto="1"/>
      </left>
      <right/>
      <top style="hair">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auto="1"/>
      </left>
      <right style="hair">
        <color auto="1"/>
      </right>
      <top style="thin">
        <color indexed="64"/>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hair">
        <color indexed="64"/>
      </right>
      <top style="thin">
        <color indexed="64"/>
      </top>
      <bottom/>
      <diagonal/>
    </border>
    <border>
      <left style="hair">
        <color auto="1"/>
      </left>
      <right style="thin">
        <color indexed="64"/>
      </right>
      <top style="thin">
        <color indexed="64"/>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style="hair">
        <color indexed="64"/>
      </right>
      <top style="thin">
        <color indexed="64"/>
      </top>
      <bottom/>
      <diagonal/>
    </border>
    <border diagonalUp="1">
      <left style="hair">
        <color auto="1"/>
      </left>
      <right style="hair">
        <color auto="1"/>
      </right>
      <top style="hair">
        <color auto="1"/>
      </top>
      <bottom style="thin">
        <color indexed="64"/>
      </bottom>
      <diagonal style="hair">
        <color auto="1"/>
      </diagonal>
    </border>
    <border diagonalUp="1">
      <left style="hair">
        <color auto="1"/>
      </left>
      <right style="hair">
        <color auto="1"/>
      </right>
      <top style="hair">
        <color auto="1"/>
      </top>
      <bottom style="hair">
        <color auto="1"/>
      </bottom>
      <diagonal style="hair">
        <color auto="1"/>
      </diagonal>
    </border>
  </borders>
  <cellStyleXfs count="1">
    <xf numFmtId="0" fontId="0" fillId="0" borderId="0">
      <alignment vertical="center"/>
    </xf>
  </cellStyleXfs>
  <cellXfs count="50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0" xfId="0" applyFont="1">
      <alignment vertical="center"/>
    </xf>
    <xf numFmtId="0" fontId="6" fillId="0" borderId="0" xfId="0" applyFont="1" applyAlignment="1">
      <alignment horizontal="center" vertical="center"/>
    </xf>
    <xf numFmtId="0" fontId="2" fillId="0" borderId="0" xfId="0" applyFont="1">
      <alignment vertical="center"/>
    </xf>
    <xf numFmtId="0" fontId="8" fillId="0" borderId="0" xfId="0" applyFont="1" applyAlignment="1">
      <alignment horizontal="center" vertical="center"/>
    </xf>
    <xf numFmtId="0" fontId="6" fillId="0" borderId="0" xfId="0" applyFont="1">
      <alignment vertical="center"/>
    </xf>
    <xf numFmtId="0" fontId="7" fillId="0" borderId="0" xfId="0" applyFont="1" applyBorder="1" applyAlignment="1">
      <alignment horizontal="center" vertical="center"/>
    </xf>
    <xf numFmtId="0" fontId="2" fillId="0" borderId="0" xfId="0" applyFont="1" applyBorder="1">
      <alignment vertical="center"/>
    </xf>
    <xf numFmtId="0" fontId="7" fillId="0" borderId="10" xfId="0" applyFont="1" applyBorder="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2" borderId="51" xfId="0" applyFont="1" applyFill="1" applyBorder="1">
      <alignment vertical="center"/>
    </xf>
    <xf numFmtId="180" fontId="4" fillId="0" borderId="2" xfId="0" applyNumberFormat="1" applyFont="1" applyBorder="1" applyAlignment="1">
      <alignment horizontal="center" vertical="center"/>
    </xf>
    <xf numFmtId="180" fontId="4" fillId="0" borderId="3" xfId="0" applyNumberFormat="1" applyFont="1" applyBorder="1" applyAlignment="1">
      <alignment horizontal="center" vertical="center"/>
    </xf>
    <xf numFmtId="180" fontId="4" fillId="0" borderId="0" xfId="0" applyNumberFormat="1" applyFont="1" applyBorder="1" applyAlignment="1">
      <alignment horizontal="center" vertical="center"/>
    </xf>
    <xf numFmtId="180" fontId="4" fillId="0" borderId="9" xfId="0" applyNumberFormat="1" applyFont="1" applyBorder="1" applyAlignment="1">
      <alignment horizontal="center" vertical="center"/>
    </xf>
    <xf numFmtId="0" fontId="2" fillId="0" borderId="0" xfId="0" applyFont="1" applyBorder="1">
      <alignment vertical="center"/>
    </xf>
    <xf numFmtId="0" fontId="7" fillId="0" borderId="0" xfId="0" applyFont="1" applyBorder="1" applyAlignment="1">
      <alignment horizontal="center" vertical="center"/>
    </xf>
    <xf numFmtId="0" fontId="8" fillId="2" borderId="52"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33" xfId="0" applyFont="1" applyFill="1" applyBorder="1" applyAlignment="1">
      <alignment horizontal="center" vertical="center" wrapText="1"/>
    </xf>
    <xf numFmtId="0" fontId="8" fillId="2" borderId="33" xfId="0" applyFont="1" applyFill="1" applyBorder="1" applyAlignment="1">
      <alignment horizontal="center" vertical="center"/>
    </xf>
    <xf numFmtId="0" fontId="8" fillId="2" borderId="47"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6" fillId="0" borderId="0" xfId="0" applyFont="1" applyAlignment="1">
      <alignment vertical="center"/>
    </xf>
    <xf numFmtId="0" fontId="8" fillId="0" borderId="59" xfId="0" applyNumberFormat="1" applyFont="1" applyBorder="1" applyAlignment="1">
      <alignment horizontal="center" vertical="center" shrinkToFit="1"/>
    </xf>
    <xf numFmtId="178" fontId="6" fillId="0" borderId="0" xfId="0" applyNumberFormat="1" applyFont="1">
      <alignment vertical="center"/>
    </xf>
    <xf numFmtId="0" fontId="2" fillId="0" borderId="0"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7" fillId="0" borderId="0" xfId="0" applyFont="1" applyBorder="1" applyAlignment="1">
      <alignment horizontal="center" vertical="center"/>
    </xf>
    <xf numFmtId="180" fontId="4" fillId="0" borderId="2" xfId="0" applyNumberFormat="1" applyFont="1" applyBorder="1" applyAlignment="1">
      <alignment horizontal="center" vertical="center"/>
    </xf>
    <xf numFmtId="180" fontId="4" fillId="0" borderId="0" xfId="0" applyNumberFormat="1" applyFont="1" applyBorder="1" applyAlignment="1">
      <alignment horizontal="center" vertical="center"/>
    </xf>
    <xf numFmtId="14" fontId="6" fillId="0" borderId="0" xfId="0" applyNumberFormat="1" applyFont="1" applyAlignment="1">
      <alignment vertical="center" shrinkToFit="1"/>
    </xf>
    <xf numFmtId="178" fontId="6" fillId="0" borderId="33" xfId="0" applyNumberFormat="1" applyFont="1" applyBorder="1" applyAlignment="1">
      <alignment horizontal="center" vertical="center" shrinkToFit="1"/>
    </xf>
    <xf numFmtId="179" fontId="6" fillId="0" borderId="46" xfId="0" applyNumberFormat="1" applyFont="1" applyBorder="1" applyAlignment="1">
      <alignment vertical="center" shrinkToFit="1"/>
    </xf>
    <xf numFmtId="179" fontId="6" fillId="0" borderId="33" xfId="0" applyNumberFormat="1" applyFont="1" applyBorder="1" applyAlignment="1">
      <alignment vertical="center" shrinkToFit="1"/>
    </xf>
    <xf numFmtId="179" fontId="6" fillId="0" borderId="47" xfId="0" applyNumberFormat="1" applyFont="1" applyBorder="1" applyAlignment="1">
      <alignment vertical="center" shrinkToFit="1"/>
    </xf>
    <xf numFmtId="179" fontId="6" fillId="0" borderId="48" xfId="0" applyNumberFormat="1" applyFont="1" applyBorder="1" applyAlignment="1">
      <alignment vertical="center" shrinkToFit="1"/>
    </xf>
    <xf numFmtId="179" fontId="6" fillId="0" borderId="49" xfId="0" applyNumberFormat="1" applyFont="1" applyBorder="1" applyAlignment="1">
      <alignment vertical="center" shrinkToFit="1"/>
    </xf>
    <xf numFmtId="179" fontId="6" fillId="0" borderId="50" xfId="0" applyNumberFormat="1" applyFont="1" applyBorder="1" applyAlignment="1">
      <alignment vertical="center" shrinkToFit="1"/>
    </xf>
    <xf numFmtId="0" fontId="11" fillId="0" borderId="0" xfId="0" applyFont="1" applyAlignment="1">
      <alignment vertical="center"/>
    </xf>
    <xf numFmtId="0" fontId="6" fillId="4" borderId="78" xfId="0" applyFont="1" applyFill="1" applyBorder="1" applyAlignment="1">
      <alignment horizontal="center" vertical="center"/>
    </xf>
    <xf numFmtId="0" fontId="6" fillId="3" borderId="66" xfId="0" applyFont="1" applyFill="1" applyBorder="1" applyAlignment="1">
      <alignment horizontal="center" vertical="center"/>
    </xf>
    <xf numFmtId="0" fontId="6" fillId="2" borderId="79" xfId="0" applyFont="1" applyFill="1" applyBorder="1">
      <alignment vertical="center"/>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6" fillId="2" borderId="51" xfId="0" applyFont="1" applyFill="1" applyBorder="1" applyAlignment="1">
      <alignment horizontal="right" vertical="center"/>
    </xf>
    <xf numFmtId="0" fontId="16" fillId="0" borderId="0" xfId="0" applyFont="1" applyAlignment="1">
      <alignment horizontal="left" vertical="center"/>
    </xf>
    <xf numFmtId="0" fontId="8" fillId="0" borderId="59" xfId="0" applyNumberFormat="1" applyFont="1" applyFill="1" applyBorder="1" applyAlignment="1">
      <alignment horizontal="center" vertical="center" shrinkToFit="1"/>
    </xf>
    <xf numFmtId="178" fontId="6" fillId="0" borderId="33" xfId="0" applyNumberFormat="1" applyFont="1" applyBorder="1" applyAlignment="1" applyProtection="1">
      <alignment horizontal="center" vertical="center" shrinkToFit="1"/>
    </xf>
    <xf numFmtId="0" fontId="8" fillId="0" borderId="59" xfId="0" applyNumberFormat="1" applyFont="1" applyBorder="1" applyAlignment="1" applyProtection="1">
      <alignment horizontal="center" vertical="center" shrinkToFit="1"/>
    </xf>
    <xf numFmtId="0" fontId="8" fillId="0" borderId="59" xfId="0" applyNumberFormat="1" applyFont="1" applyFill="1" applyBorder="1" applyAlignment="1" applyProtection="1">
      <alignment horizontal="center" vertical="center" shrinkToFit="1"/>
    </xf>
    <xf numFmtId="0" fontId="6" fillId="0" borderId="0" xfId="0" applyFont="1">
      <alignment vertical="center"/>
    </xf>
    <xf numFmtId="0" fontId="6" fillId="0" borderId="68" xfId="0" applyFont="1" applyFill="1" applyBorder="1" applyAlignment="1">
      <alignment vertical="center" shrinkToFit="1"/>
    </xf>
    <xf numFmtId="0" fontId="6" fillId="0" borderId="68" xfId="0" applyFont="1" applyFill="1" applyBorder="1" applyAlignment="1">
      <alignment horizontal="center" vertical="center" shrinkToFit="1"/>
    </xf>
    <xf numFmtId="179" fontId="6" fillId="0" borderId="39" xfId="0" applyNumberFormat="1" applyFont="1" applyBorder="1" applyAlignment="1">
      <alignment vertical="center" shrinkToFit="1"/>
    </xf>
    <xf numFmtId="179" fontId="6" fillId="0" borderId="62" xfId="0" applyNumberFormat="1" applyFont="1" applyBorder="1" applyAlignment="1">
      <alignment vertical="center" shrinkToFit="1"/>
    </xf>
    <xf numFmtId="177" fontId="6" fillId="0" borderId="47" xfId="0" applyNumberFormat="1" applyFont="1" applyFill="1" applyBorder="1" applyAlignment="1" applyProtection="1">
      <alignment horizontal="center" vertical="center" shrinkToFit="1"/>
    </xf>
    <xf numFmtId="0" fontId="6" fillId="0" borderId="0" xfId="0" applyFont="1">
      <alignment vertical="center"/>
    </xf>
    <xf numFmtId="0" fontId="16" fillId="0" borderId="0" xfId="0" applyFont="1" applyAlignment="1">
      <alignment vertical="center"/>
    </xf>
    <xf numFmtId="177" fontId="6" fillId="0" borderId="50" xfId="0" applyNumberFormat="1" applyFont="1" applyFill="1" applyBorder="1" applyAlignment="1" applyProtection="1">
      <alignment horizontal="center" vertical="center" shrinkToFit="1"/>
    </xf>
    <xf numFmtId="0" fontId="0" fillId="0" borderId="55" xfId="0" applyBorder="1" applyAlignment="1">
      <alignment horizontal="center" vertical="center"/>
    </xf>
    <xf numFmtId="0" fontId="0" fillId="0" borderId="81" xfId="0" applyBorder="1" applyAlignment="1">
      <alignment horizontal="center" vertical="center"/>
    </xf>
    <xf numFmtId="0" fontId="0" fillId="0" borderId="51" xfId="0" applyBorder="1" applyAlignment="1">
      <alignment horizontal="right" vertical="center"/>
    </xf>
    <xf numFmtId="0" fontId="0" fillId="0" borderId="79" xfId="0" applyBorder="1" applyAlignment="1">
      <alignment horizontal="right" vertical="center"/>
    </xf>
    <xf numFmtId="0" fontId="0" fillId="0" borderId="64" xfId="0" applyBorder="1">
      <alignment vertical="center"/>
    </xf>
    <xf numFmtId="0" fontId="0" fillId="0" borderId="82" xfId="0" applyBorder="1">
      <alignment vertical="center"/>
    </xf>
    <xf numFmtId="0" fontId="0" fillId="0" borderId="65" xfId="0" applyBorder="1">
      <alignment vertical="center"/>
    </xf>
    <xf numFmtId="0" fontId="0" fillId="0" borderId="83" xfId="0" applyBorder="1">
      <alignment vertical="center"/>
    </xf>
    <xf numFmtId="0" fontId="0" fillId="0" borderId="0" xfId="0" applyBorder="1">
      <alignment vertical="center"/>
    </xf>
    <xf numFmtId="0" fontId="0" fillId="0" borderId="84" xfId="0" applyBorder="1">
      <alignment vertical="center"/>
    </xf>
    <xf numFmtId="0" fontId="0" fillId="0" borderId="86" xfId="0" applyBorder="1">
      <alignment vertical="center"/>
    </xf>
    <xf numFmtId="0" fontId="0" fillId="0" borderId="87" xfId="0" applyBorder="1">
      <alignment vertical="center"/>
    </xf>
    <xf numFmtId="0" fontId="6" fillId="2" borderId="46"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179" fontId="6" fillId="0" borderId="50" xfId="0" applyNumberFormat="1" applyFont="1" applyBorder="1" applyAlignment="1">
      <alignment horizontal="center" vertical="center" shrinkToFit="1"/>
    </xf>
    <xf numFmtId="49" fontId="0" fillId="0" borderId="0" xfId="0" applyNumberFormat="1">
      <alignment vertical="center"/>
    </xf>
    <xf numFmtId="0" fontId="18" fillId="0" borderId="0" xfId="0" applyFont="1">
      <alignment vertical="center"/>
    </xf>
    <xf numFmtId="0" fontId="17" fillId="0" borderId="0" xfId="0" applyFont="1">
      <alignment vertical="center"/>
    </xf>
    <xf numFmtId="0" fontId="19" fillId="0" borderId="0" xfId="0" applyFont="1">
      <alignment vertical="center"/>
    </xf>
    <xf numFmtId="0" fontId="0" fillId="0" borderId="0" xfId="0">
      <alignment vertical="center"/>
    </xf>
    <xf numFmtId="0" fontId="0" fillId="0" borderId="42" xfId="0" applyBorder="1">
      <alignment vertical="center"/>
    </xf>
    <xf numFmtId="0" fontId="0" fillId="0" borderId="33" xfId="0" applyBorder="1">
      <alignment vertical="center"/>
    </xf>
    <xf numFmtId="0" fontId="0" fillId="0" borderId="46" xfId="0" applyBorder="1">
      <alignment vertical="center"/>
    </xf>
    <xf numFmtId="0" fontId="0" fillId="0" borderId="47" xfId="0" applyBorder="1">
      <alignment vertical="center"/>
    </xf>
    <xf numFmtId="0" fontId="0" fillId="0" borderId="50" xfId="0" applyBorder="1">
      <alignment vertical="center"/>
    </xf>
    <xf numFmtId="0" fontId="0" fillId="0" borderId="61" xfId="0" applyBorder="1">
      <alignment vertical="center"/>
    </xf>
    <xf numFmtId="0" fontId="0" fillId="0" borderId="44" xfId="0" applyBorder="1">
      <alignment vertical="center"/>
    </xf>
    <xf numFmtId="0" fontId="0" fillId="0" borderId="45" xfId="0" applyBorder="1">
      <alignment vertical="center"/>
    </xf>
    <xf numFmtId="177" fontId="0" fillId="2" borderId="80" xfId="0" applyNumberFormat="1" applyFill="1" applyBorder="1">
      <alignment vertical="center"/>
    </xf>
    <xf numFmtId="177" fontId="0" fillId="2" borderId="89" xfId="0" applyNumberFormat="1" applyFill="1" applyBorder="1">
      <alignment vertical="center"/>
    </xf>
    <xf numFmtId="0" fontId="0" fillId="2" borderId="54" xfId="0" applyFill="1" applyBorder="1" applyAlignment="1">
      <alignment horizontal="right" vertical="center"/>
    </xf>
    <xf numFmtId="177" fontId="0" fillId="2" borderId="90" xfId="0" applyNumberFormat="1" applyFill="1" applyBorder="1">
      <alignment vertical="center"/>
    </xf>
    <xf numFmtId="177" fontId="0" fillId="2" borderId="91" xfId="0" applyNumberFormat="1" applyFill="1" applyBorder="1">
      <alignment vertical="center"/>
    </xf>
    <xf numFmtId="177" fontId="0" fillId="2" borderId="92" xfId="0" applyNumberFormat="1" applyFill="1" applyBorder="1">
      <alignment vertical="center"/>
    </xf>
    <xf numFmtId="0" fontId="0" fillId="0" borderId="58" xfId="0" applyBorder="1">
      <alignment vertical="center"/>
    </xf>
    <xf numFmtId="177" fontId="0" fillId="2" borderId="88" xfId="0" applyNumberFormat="1" applyFill="1" applyBorder="1" applyAlignment="1">
      <alignment horizontal="right" vertical="center"/>
    </xf>
    <xf numFmtId="0" fontId="0" fillId="0" borderId="90" xfId="0" applyBorder="1">
      <alignment vertical="center"/>
    </xf>
    <xf numFmtId="0" fontId="0" fillId="0" borderId="91" xfId="0" applyBorder="1">
      <alignment vertical="center"/>
    </xf>
    <xf numFmtId="0" fontId="0" fillId="0" borderId="94" xfId="0" applyBorder="1">
      <alignment vertical="center"/>
    </xf>
    <xf numFmtId="0" fontId="0" fillId="0" borderId="93" xfId="0" applyBorder="1">
      <alignment vertical="center"/>
    </xf>
    <xf numFmtId="177" fontId="6" fillId="0" borderId="39" xfId="0" applyNumberFormat="1" applyFont="1" applyBorder="1" applyAlignment="1">
      <alignment vertical="center" shrinkToFit="1"/>
    </xf>
    <xf numFmtId="0" fontId="0" fillId="0" borderId="80" xfId="0" applyBorder="1">
      <alignment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180" fontId="4" fillId="0" borderId="2" xfId="0" applyNumberFormat="1" applyFont="1" applyBorder="1" applyAlignment="1">
      <alignment horizontal="center" vertical="center"/>
    </xf>
    <xf numFmtId="180" fontId="4" fillId="0" borderId="0" xfId="0" applyNumberFormat="1" applyFont="1" applyBorder="1" applyAlignment="1">
      <alignment horizontal="center" vertical="center"/>
    </xf>
    <xf numFmtId="178" fontId="6" fillId="0" borderId="49" xfId="0" applyNumberFormat="1" applyFont="1" applyBorder="1" applyAlignment="1">
      <alignment horizontal="center" vertical="center" shrinkToFit="1"/>
    </xf>
    <xf numFmtId="0" fontId="8" fillId="0" borderId="60" xfId="0" applyNumberFormat="1" applyFont="1" applyBorder="1" applyAlignment="1">
      <alignment horizontal="center" vertical="center" shrinkToFit="1"/>
    </xf>
    <xf numFmtId="0" fontId="8" fillId="0" borderId="60" xfId="0" applyNumberFormat="1" applyFont="1" applyFill="1" applyBorder="1" applyAlignment="1">
      <alignment horizontal="center" vertical="center" shrinkToFit="1"/>
    </xf>
    <xf numFmtId="177" fontId="6" fillId="0" borderId="62" xfId="0" applyNumberFormat="1" applyFont="1" applyBorder="1" applyAlignment="1">
      <alignment vertical="center" shrinkToFit="1"/>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21" fillId="0" borderId="85" xfId="0" applyFont="1" applyBorder="1">
      <alignment vertical="center"/>
    </xf>
    <xf numFmtId="0" fontId="22" fillId="3" borderId="46" xfId="0" applyFont="1" applyFill="1" applyBorder="1" applyAlignment="1" applyProtection="1">
      <alignment horizontal="center" vertical="center" shrinkToFit="1"/>
    </xf>
    <xf numFmtId="0" fontId="22" fillId="3" borderId="33" xfId="0" applyFont="1" applyFill="1" applyBorder="1" applyAlignment="1" applyProtection="1">
      <alignment horizontal="center" vertical="center" shrinkToFit="1"/>
    </xf>
    <xf numFmtId="57" fontId="22" fillId="3" borderId="33" xfId="0" applyNumberFormat="1" applyFont="1" applyFill="1" applyBorder="1" applyAlignment="1" applyProtection="1">
      <alignment horizontal="center" vertical="center" shrinkToFit="1"/>
    </xf>
    <xf numFmtId="178" fontId="22" fillId="0" borderId="33" xfId="0" applyNumberFormat="1" applyFont="1" applyBorder="1" applyAlignment="1" applyProtection="1">
      <alignment horizontal="center" vertical="center" shrinkToFit="1"/>
    </xf>
    <xf numFmtId="178" fontId="22" fillId="3" borderId="59" xfId="0" applyNumberFormat="1" applyFont="1" applyFill="1" applyBorder="1" applyAlignment="1" applyProtection="1">
      <alignment horizontal="center" vertical="center" shrinkToFit="1"/>
    </xf>
    <xf numFmtId="178" fontId="22" fillId="4" borderId="33" xfId="0" applyNumberFormat="1" applyFont="1" applyFill="1" applyBorder="1" applyAlignment="1" applyProtection="1">
      <alignment horizontal="center" vertical="center" shrinkToFit="1"/>
    </xf>
    <xf numFmtId="178" fontId="22" fillId="4" borderId="59" xfId="0" applyNumberFormat="1" applyFont="1" applyFill="1" applyBorder="1" applyAlignment="1" applyProtection="1">
      <alignment horizontal="center" vertical="center" shrinkToFit="1"/>
    </xf>
    <xf numFmtId="0" fontId="22" fillId="4" borderId="59" xfId="0" applyNumberFormat="1" applyFont="1" applyFill="1" applyBorder="1" applyAlignment="1" applyProtection="1">
      <alignment horizontal="center" vertical="center" shrinkToFit="1"/>
    </xf>
    <xf numFmtId="0" fontId="23" fillId="0" borderId="59" xfId="0" applyNumberFormat="1" applyFont="1" applyBorder="1" applyAlignment="1" applyProtection="1">
      <alignment horizontal="center" vertical="center" shrinkToFit="1"/>
    </xf>
    <xf numFmtId="177" fontId="22" fillId="0" borderId="47" xfId="0" applyNumberFormat="1" applyFont="1" applyFill="1" applyBorder="1" applyAlignment="1" applyProtection="1">
      <alignment horizontal="center" vertical="center" shrinkToFit="1"/>
    </xf>
    <xf numFmtId="182" fontId="22" fillId="3" borderId="52" xfId="0" applyNumberFormat="1" applyFont="1" applyFill="1" applyBorder="1" applyAlignment="1" applyProtection="1">
      <alignment horizontal="center" vertical="center" shrinkToFit="1"/>
    </xf>
    <xf numFmtId="182" fontId="22" fillId="3" borderId="28" xfId="0" applyNumberFormat="1" applyFont="1" applyFill="1" applyBorder="1" applyAlignment="1" applyProtection="1">
      <alignment horizontal="center" vertical="center" shrinkToFit="1"/>
    </xf>
    <xf numFmtId="181" fontId="22" fillId="3" borderId="28" xfId="0" applyNumberFormat="1" applyFont="1" applyFill="1" applyBorder="1" applyAlignment="1" applyProtection="1">
      <alignment horizontal="center" vertical="center" shrinkToFit="1"/>
    </xf>
    <xf numFmtId="181" fontId="22" fillId="3" borderId="53" xfId="0" applyNumberFormat="1" applyFont="1" applyFill="1" applyBorder="1" applyAlignment="1" applyProtection="1">
      <alignment horizontal="center" vertical="center" shrinkToFit="1"/>
    </xf>
    <xf numFmtId="179" fontId="22" fillId="3" borderId="59" xfId="0" applyNumberFormat="1" applyFont="1" applyFill="1" applyBorder="1" applyAlignment="1" applyProtection="1">
      <alignment horizontal="center" vertical="center" shrinkToFit="1"/>
    </xf>
    <xf numFmtId="179" fontId="22" fillId="3" borderId="47" xfId="0" applyNumberFormat="1" applyFont="1" applyFill="1" applyBorder="1" applyAlignment="1" applyProtection="1">
      <alignment horizontal="center" vertical="center" shrinkToFit="1"/>
    </xf>
    <xf numFmtId="0" fontId="22" fillId="4" borderId="46" xfId="0" applyFont="1" applyFill="1" applyBorder="1" applyAlignment="1" applyProtection="1">
      <alignment horizontal="center" vertical="center" shrinkToFit="1"/>
    </xf>
    <xf numFmtId="0" fontId="23" fillId="0" borderId="59" xfId="0" applyNumberFormat="1" applyFont="1" applyFill="1" applyBorder="1" applyAlignment="1" applyProtection="1">
      <alignment horizontal="center" vertical="center" shrinkToFit="1"/>
    </xf>
    <xf numFmtId="177" fontId="22" fillId="4" borderId="47" xfId="0" applyNumberFormat="1" applyFont="1" applyFill="1" applyBorder="1" applyAlignment="1" applyProtection="1">
      <alignment horizontal="center" vertical="center" shrinkToFit="1"/>
    </xf>
    <xf numFmtId="179" fontId="22" fillId="0" borderId="46" xfId="0" applyNumberFormat="1" applyFont="1" applyBorder="1" applyAlignment="1">
      <alignment vertical="center" shrinkToFit="1"/>
    </xf>
    <xf numFmtId="179" fontId="22" fillId="0" borderId="33" xfId="0" applyNumberFormat="1" applyFont="1" applyBorder="1" applyAlignment="1">
      <alignment vertical="center" shrinkToFit="1"/>
    </xf>
    <xf numFmtId="179" fontId="22" fillId="0" borderId="39" xfId="0" applyNumberFormat="1" applyFont="1" applyBorder="1" applyAlignment="1">
      <alignment vertical="center" shrinkToFit="1"/>
    </xf>
    <xf numFmtId="177" fontId="22" fillId="0" borderId="39" xfId="0" applyNumberFormat="1" applyFont="1" applyBorder="1" applyAlignment="1">
      <alignment vertical="center" shrinkToFit="1"/>
    </xf>
    <xf numFmtId="179" fontId="22" fillId="0" borderId="47" xfId="0" applyNumberFormat="1" applyFont="1" applyBorder="1" applyAlignment="1">
      <alignment vertical="center" shrinkToFit="1"/>
    </xf>
    <xf numFmtId="0" fontId="6" fillId="0" borderId="46" xfId="0" applyFont="1" applyFill="1" applyBorder="1" applyAlignment="1" applyProtection="1">
      <alignment horizontal="center" vertical="center" shrinkToFit="1"/>
      <protection locked="0"/>
    </xf>
    <xf numFmtId="0" fontId="6" fillId="0" borderId="33" xfId="0" applyFont="1" applyFill="1" applyBorder="1" applyAlignment="1" applyProtection="1">
      <alignment horizontal="center" vertical="center" shrinkToFit="1"/>
      <protection locked="0"/>
    </xf>
    <xf numFmtId="57" fontId="6" fillId="0" borderId="33" xfId="0" applyNumberFormat="1" applyFont="1" applyFill="1" applyBorder="1" applyAlignment="1" applyProtection="1">
      <alignment horizontal="center" vertical="center" shrinkToFit="1"/>
      <protection locked="0"/>
    </xf>
    <xf numFmtId="0" fontId="6" fillId="0" borderId="48" xfId="0" applyFont="1" applyFill="1" applyBorder="1" applyAlignment="1" applyProtection="1">
      <alignment horizontal="center" vertical="center" shrinkToFit="1"/>
      <protection locked="0"/>
    </xf>
    <xf numFmtId="0" fontId="6" fillId="0" borderId="49" xfId="0" applyFont="1" applyFill="1" applyBorder="1" applyAlignment="1" applyProtection="1">
      <alignment horizontal="center" vertical="center" shrinkToFit="1"/>
      <protection locked="0"/>
    </xf>
    <xf numFmtId="178" fontId="6" fillId="0" borderId="59" xfId="0" applyNumberFormat="1" applyFont="1" applyFill="1" applyBorder="1" applyAlignment="1" applyProtection="1">
      <alignment horizontal="center" vertical="center" shrinkToFit="1"/>
      <protection locked="0"/>
    </xf>
    <xf numFmtId="178" fontId="6" fillId="0" borderId="60" xfId="0" applyNumberFormat="1" applyFont="1" applyFill="1" applyBorder="1" applyAlignment="1" applyProtection="1">
      <alignment horizontal="center" vertical="center" shrinkToFit="1"/>
      <protection locked="0"/>
    </xf>
    <xf numFmtId="178" fontId="6" fillId="0" borderId="33" xfId="0" applyNumberFormat="1" applyFont="1" applyFill="1" applyBorder="1" applyAlignment="1" applyProtection="1">
      <alignment horizontal="center" vertical="center" shrinkToFit="1"/>
      <protection locked="0"/>
    </xf>
    <xf numFmtId="0" fontId="6" fillId="0" borderId="59" xfId="0" applyNumberFormat="1" applyFont="1" applyFill="1" applyBorder="1" applyAlignment="1" applyProtection="1">
      <alignment horizontal="center" vertical="center" shrinkToFit="1"/>
      <protection locked="0"/>
    </xf>
    <xf numFmtId="178" fontId="6" fillId="0" borderId="49" xfId="0" applyNumberFormat="1" applyFont="1" applyFill="1" applyBorder="1" applyAlignment="1" applyProtection="1">
      <alignment horizontal="center" vertical="center" shrinkToFit="1"/>
      <protection locked="0"/>
    </xf>
    <xf numFmtId="0" fontId="6" fillId="0" borderId="60" xfId="0" applyNumberFormat="1" applyFont="1" applyFill="1" applyBorder="1" applyAlignment="1" applyProtection="1">
      <alignment horizontal="center" vertical="center" shrinkToFit="1"/>
      <protection locked="0"/>
    </xf>
    <xf numFmtId="182" fontId="6" fillId="0" borderId="52" xfId="0" applyNumberFormat="1" applyFont="1" applyFill="1" applyBorder="1" applyAlignment="1" applyProtection="1">
      <alignment horizontal="center" vertical="center" shrinkToFit="1"/>
      <protection locked="0"/>
    </xf>
    <xf numFmtId="182" fontId="6" fillId="0" borderId="28" xfId="0" applyNumberFormat="1" applyFont="1" applyFill="1" applyBorder="1" applyAlignment="1" applyProtection="1">
      <alignment horizontal="center" vertical="center" shrinkToFit="1"/>
      <protection locked="0"/>
    </xf>
    <xf numFmtId="181" fontId="6" fillId="0" borderId="28" xfId="0" applyNumberFormat="1" applyFont="1" applyFill="1" applyBorder="1" applyAlignment="1" applyProtection="1">
      <alignment horizontal="center" vertical="center" shrinkToFit="1"/>
      <protection locked="0"/>
    </xf>
    <xf numFmtId="181" fontId="6" fillId="0" borderId="53" xfId="0" applyNumberFormat="1" applyFont="1" applyFill="1" applyBorder="1" applyAlignment="1" applyProtection="1">
      <alignment horizontal="center" vertical="center" shrinkToFit="1"/>
      <protection locked="0"/>
    </xf>
    <xf numFmtId="179" fontId="6" fillId="0" borderId="59" xfId="0" applyNumberFormat="1" applyFont="1" applyFill="1" applyBorder="1" applyAlignment="1" applyProtection="1">
      <alignment horizontal="center" vertical="center" shrinkToFit="1"/>
      <protection locked="0"/>
    </xf>
    <xf numFmtId="179" fontId="6" fillId="0" borderId="47" xfId="0" applyNumberFormat="1" applyFont="1" applyFill="1" applyBorder="1" applyAlignment="1" applyProtection="1">
      <alignment horizontal="center" vertical="center" shrinkToFit="1"/>
      <protection locked="0"/>
    </xf>
    <xf numFmtId="182" fontId="6" fillId="0" borderId="46" xfId="0" applyNumberFormat="1" applyFont="1" applyFill="1" applyBorder="1" applyAlignment="1" applyProtection="1">
      <alignment horizontal="center" vertical="center" shrinkToFit="1"/>
      <protection locked="0"/>
    </xf>
    <xf numFmtId="182" fontId="6" fillId="0" borderId="33" xfId="0" applyNumberFormat="1" applyFont="1" applyFill="1" applyBorder="1" applyAlignment="1" applyProtection="1">
      <alignment horizontal="center" vertical="center" shrinkToFit="1"/>
      <protection locked="0"/>
    </xf>
    <xf numFmtId="181" fontId="6" fillId="0" borderId="33" xfId="0" applyNumberFormat="1" applyFont="1" applyFill="1" applyBorder="1" applyAlignment="1" applyProtection="1">
      <alignment horizontal="center" vertical="center" shrinkToFit="1"/>
      <protection locked="0"/>
    </xf>
    <xf numFmtId="181" fontId="6" fillId="0" borderId="47" xfId="0" applyNumberFormat="1" applyFont="1" applyFill="1" applyBorder="1" applyAlignment="1" applyProtection="1">
      <alignment horizontal="center" vertical="center" shrinkToFit="1"/>
      <protection locked="0"/>
    </xf>
    <xf numFmtId="182" fontId="6" fillId="0" borderId="48" xfId="0" applyNumberFormat="1" applyFont="1" applyFill="1" applyBorder="1" applyAlignment="1" applyProtection="1">
      <alignment horizontal="center" vertical="center" shrinkToFit="1"/>
      <protection locked="0"/>
    </xf>
    <xf numFmtId="182" fontId="6" fillId="0" borderId="49" xfId="0" applyNumberFormat="1" applyFont="1" applyFill="1" applyBorder="1" applyAlignment="1" applyProtection="1">
      <alignment horizontal="center" vertical="center" shrinkToFit="1"/>
      <protection locked="0"/>
    </xf>
    <xf numFmtId="181" fontId="6" fillId="0" borderId="49" xfId="0" applyNumberFormat="1" applyFont="1" applyFill="1" applyBorder="1" applyAlignment="1" applyProtection="1">
      <alignment horizontal="center" vertical="center" shrinkToFit="1"/>
      <protection locked="0"/>
    </xf>
    <xf numFmtId="181" fontId="6" fillId="0" borderId="50" xfId="0" applyNumberFormat="1" applyFont="1" applyFill="1" applyBorder="1" applyAlignment="1" applyProtection="1">
      <alignment horizontal="center" vertical="center" shrinkToFit="1"/>
      <protection locked="0"/>
    </xf>
    <xf numFmtId="179" fontId="6" fillId="0" borderId="60" xfId="0" applyNumberFormat="1" applyFont="1" applyFill="1" applyBorder="1" applyAlignment="1" applyProtection="1">
      <alignment horizontal="center" vertical="center" shrinkToFit="1"/>
      <protection locked="0"/>
    </xf>
    <xf numFmtId="179" fontId="6" fillId="0" borderId="50" xfId="0" applyNumberFormat="1" applyFont="1" applyFill="1" applyBorder="1" applyAlignment="1" applyProtection="1">
      <alignment horizontal="center" vertical="center" shrinkToFit="1"/>
      <protection locked="0"/>
    </xf>
    <xf numFmtId="177" fontId="6" fillId="0" borderId="47" xfId="0" applyNumberFormat="1" applyFont="1" applyFill="1" applyBorder="1" applyAlignment="1" applyProtection="1">
      <alignment horizontal="center" vertical="center" shrinkToFit="1"/>
      <protection locked="0"/>
    </xf>
    <xf numFmtId="177" fontId="6" fillId="0" borderId="50" xfId="0" applyNumberFormat="1" applyFont="1" applyFill="1" applyBorder="1" applyAlignment="1" applyProtection="1">
      <alignment horizontal="center" vertical="center" shrinkToFit="1"/>
      <protection locked="0"/>
    </xf>
    <xf numFmtId="0" fontId="3" fillId="0" borderId="0" xfId="0" applyFont="1">
      <alignment vertical="center"/>
    </xf>
    <xf numFmtId="0" fontId="17" fillId="0" borderId="0" xfId="0" applyFont="1" applyAlignment="1">
      <alignment horizontal="center" vertical="center"/>
    </xf>
    <xf numFmtId="184" fontId="0" fillId="0" borderId="51" xfId="0" applyNumberFormat="1" applyBorder="1">
      <alignment vertical="center"/>
    </xf>
    <xf numFmtId="184" fontId="0" fillId="0" borderId="79" xfId="0" applyNumberFormat="1" applyBorder="1">
      <alignment vertical="center"/>
    </xf>
    <xf numFmtId="57" fontId="6" fillId="0" borderId="49" xfId="0" applyNumberFormat="1" applyFont="1" applyFill="1" applyBorder="1" applyAlignment="1" applyProtection="1">
      <alignment horizontal="center" vertical="center" shrinkToFit="1"/>
      <protection locked="0"/>
    </xf>
    <xf numFmtId="0" fontId="15" fillId="0" borderId="64" xfId="0" applyFont="1" applyFill="1" applyBorder="1" applyAlignment="1" applyProtection="1">
      <alignment horizontal="right" vertical="center" shrinkToFit="1"/>
      <protection locked="0"/>
    </xf>
    <xf numFmtId="49" fontId="15" fillId="0" borderId="65" xfId="0" applyNumberFormat="1" applyFont="1" applyFill="1" applyBorder="1" applyAlignment="1" applyProtection="1">
      <alignment horizontal="left" vertical="center" shrinkToFit="1"/>
      <protection locked="0"/>
    </xf>
    <xf numFmtId="182" fontId="15" fillId="0" borderId="47" xfId="0" applyNumberFormat="1" applyFont="1" applyFill="1" applyBorder="1" applyAlignment="1" applyProtection="1">
      <alignment horizontal="center" vertical="center" shrinkToFit="1"/>
      <protection locked="0"/>
    </xf>
    <xf numFmtId="49" fontId="0" fillId="0" borderId="0" xfId="0" applyNumberFormat="1">
      <alignment vertical="center"/>
    </xf>
    <xf numFmtId="0" fontId="6" fillId="0" borderId="66" xfId="0" applyFont="1" applyBorder="1" applyAlignment="1" applyProtection="1">
      <alignment horizontal="center" vertical="center" shrinkToFit="1"/>
      <protection locked="0"/>
    </xf>
    <xf numFmtId="0" fontId="6" fillId="2" borderId="67" xfId="0" applyFont="1" applyFill="1" applyBorder="1" applyAlignment="1">
      <alignment vertical="center" shrinkToFit="1"/>
    </xf>
    <xf numFmtId="0" fontId="6" fillId="2" borderId="68" xfId="0" applyFont="1" applyFill="1" applyBorder="1" applyAlignment="1">
      <alignment vertical="center" shrinkToFit="1"/>
    </xf>
    <xf numFmtId="0" fontId="6" fillId="2" borderId="69" xfId="0" applyFont="1" applyFill="1" applyBorder="1" applyAlignment="1">
      <alignment vertical="center" shrinkToFit="1"/>
    </xf>
    <xf numFmtId="0" fontId="6" fillId="0" borderId="67" xfId="0" applyFont="1" applyBorder="1" applyAlignment="1" applyProtection="1">
      <alignment horizontal="center" vertical="center" shrinkToFit="1"/>
      <protection locked="0"/>
    </xf>
    <xf numFmtId="0" fontId="6" fillId="0" borderId="68" xfId="0" applyFont="1" applyBorder="1" applyAlignment="1" applyProtection="1">
      <alignment horizontal="center" vertical="center" shrinkToFit="1"/>
      <protection locked="0"/>
    </xf>
    <xf numFmtId="0" fontId="6" fillId="0" borderId="69" xfId="0" applyFont="1" applyBorder="1" applyAlignment="1" applyProtection="1">
      <alignment horizontal="center" vertical="center" shrinkToFit="1"/>
      <protection locked="0"/>
    </xf>
    <xf numFmtId="0" fontId="6" fillId="2" borderId="44" xfId="0" applyFont="1" applyFill="1" applyBorder="1" applyAlignment="1">
      <alignment horizontal="center" vertical="center"/>
    </xf>
    <xf numFmtId="0" fontId="6" fillId="2" borderId="33"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58"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7"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63" xfId="0" applyFont="1" applyFill="1" applyBorder="1" applyAlignment="1">
      <alignment horizontal="center" vertical="center"/>
    </xf>
    <xf numFmtId="0" fontId="8" fillId="2" borderId="57" xfId="0" applyFont="1" applyFill="1" applyBorder="1" applyAlignment="1">
      <alignment horizontal="center" vertical="center"/>
    </xf>
    <xf numFmtId="0" fontId="6" fillId="2" borderId="61"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59"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80" xfId="0" applyFont="1" applyFill="1" applyBorder="1" applyAlignment="1">
      <alignment horizontal="center" vertical="center" wrapText="1"/>
    </xf>
    <xf numFmtId="0" fontId="6" fillId="2" borderId="28" xfId="0" applyFont="1" applyFill="1" applyBorder="1" applyAlignment="1">
      <alignment horizontal="center" vertical="center"/>
    </xf>
    <xf numFmtId="0" fontId="6" fillId="2" borderId="2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5" xfId="0" applyFont="1" applyFill="1" applyBorder="1" applyAlignment="1">
      <alignment horizontal="center" vertical="center"/>
    </xf>
    <xf numFmtId="0" fontId="2" fillId="0" borderId="19" xfId="0" applyFont="1" applyBorder="1" applyAlignment="1">
      <alignment vertical="center" shrinkToFit="1"/>
    </xf>
    <xf numFmtId="0" fontId="2" fillId="0" borderId="20" xfId="0" applyFont="1" applyBorder="1" applyAlignment="1">
      <alignment vertical="center" shrinkToFit="1"/>
    </xf>
    <xf numFmtId="0" fontId="7" fillId="0" borderId="19" xfId="0" applyFont="1" applyBorder="1" applyAlignment="1">
      <alignment horizontal="center" vertical="center"/>
    </xf>
    <xf numFmtId="0" fontId="7" fillId="0" borderId="2"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0" xfId="0" applyFont="1" applyBorder="1" applyProtection="1">
      <alignment vertical="center"/>
      <protection locked="0"/>
    </xf>
    <xf numFmtId="0" fontId="7" fillId="0" borderId="9" xfId="0" applyFont="1" applyBorder="1" applyProtection="1">
      <alignment vertical="center"/>
      <protection locked="0"/>
    </xf>
    <xf numFmtId="0" fontId="4" fillId="0" borderId="22" xfId="0" applyFont="1" applyBorder="1" applyProtection="1">
      <alignment vertical="center"/>
      <protection locked="0"/>
    </xf>
    <xf numFmtId="0" fontId="4" fillId="0" borderId="0" xfId="0" applyFont="1" applyBorder="1" applyProtection="1">
      <alignment vertical="center"/>
      <protection locked="0"/>
    </xf>
    <xf numFmtId="0" fontId="4" fillId="0" borderId="9" xfId="0" applyFont="1" applyBorder="1" applyProtection="1">
      <alignment vertical="center"/>
      <protection locked="0"/>
    </xf>
    <xf numFmtId="0" fontId="7" fillId="0" borderId="22" xfId="0" applyFont="1" applyBorder="1">
      <alignment vertical="center"/>
    </xf>
    <xf numFmtId="0" fontId="7" fillId="0" borderId="0" xfId="0" applyFont="1" applyBorder="1">
      <alignment vertical="center"/>
    </xf>
    <xf numFmtId="0" fontId="7" fillId="0" borderId="23" xfId="0" applyFont="1" applyBorder="1">
      <alignment vertical="center"/>
    </xf>
    <xf numFmtId="0" fontId="7" fillId="0" borderId="12" xfId="0" applyFont="1" applyBorder="1">
      <alignment vertical="center"/>
    </xf>
    <xf numFmtId="0" fontId="7" fillId="0" borderId="12" xfId="0" applyFont="1" applyBorder="1" applyProtection="1">
      <alignment vertical="center"/>
      <protection locked="0"/>
    </xf>
    <xf numFmtId="0" fontId="7" fillId="0" borderId="13" xfId="0" applyFont="1" applyBorder="1" applyProtection="1">
      <alignment vertical="center"/>
      <protection locked="0"/>
    </xf>
    <xf numFmtId="0" fontId="2" fillId="0" borderId="22" xfId="0" applyFont="1" applyBorder="1" applyProtection="1">
      <alignment vertical="center"/>
      <protection locked="0"/>
    </xf>
    <xf numFmtId="0" fontId="2" fillId="0" borderId="0" xfId="0" applyFont="1" applyBorder="1" applyProtection="1">
      <alignment vertical="center"/>
      <protection locked="0"/>
    </xf>
    <xf numFmtId="0" fontId="2" fillId="0" borderId="9" xfId="0" applyFont="1" applyBorder="1" applyProtection="1">
      <alignment vertical="center"/>
      <protection locked="0"/>
    </xf>
    <xf numFmtId="0" fontId="4" fillId="0" borderId="0" xfId="0" applyFont="1">
      <alignment vertical="center"/>
    </xf>
    <xf numFmtId="0" fontId="6" fillId="0" borderId="0" xfId="0" applyFont="1">
      <alignment vertical="center"/>
    </xf>
    <xf numFmtId="0" fontId="6" fillId="0" borderId="12" xfId="0" applyFont="1" applyBorder="1">
      <alignment vertical="center"/>
    </xf>
    <xf numFmtId="0" fontId="4" fillId="2" borderId="1" xfId="0" applyFont="1" applyFill="1" applyBorder="1" applyAlignment="1">
      <alignment horizontal="distributed" vertical="center" wrapText="1"/>
    </xf>
    <xf numFmtId="0" fontId="4" fillId="2" borderId="2" xfId="0" applyFont="1" applyFill="1" applyBorder="1" applyAlignment="1">
      <alignment horizontal="distributed" vertical="center"/>
    </xf>
    <xf numFmtId="0" fontId="4" fillId="2" borderId="14" xfId="0" applyFont="1" applyFill="1" applyBorder="1" applyAlignment="1">
      <alignment horizontal="distributed" vertical="center"/>
    </xf>
    <xf numFmtId="0" fontId="4" fillId="2" borderId="10" xfId="0" applyFont="1" applyFill="1" applyBorder="1" applyAlignment="1">
      <alignment horizontal="distributed" vertical="center"/>
    </xf>
    <xf numFmtId="0" fontId="4" fillId="2" borderId="0" xfId="0" applyFont="1" applyFill="1" applyBorder="1" applyAlignment="1">
      <alignment horizontal="distributed" vertical="center"/>
    </xf>
    <xf numFmtId="0" fontId="4" fillId="2" borderId="17" xfId="0" applyFont="1" applyFill="1" applyBorder="1" applyAlignment="1">
      <alignment horizontal="distributed" vertical="center"/>
    </xf>
    <xf numFmtId="0" fontId="4" fillId="2" borderId="11" xfId="0" applyFont="1" applyFill="1" applyBorder="1" applyAlignment="1">
      <alignment horizontal="distributed" vertical="center"/>
    </xf>
    <xf numFmtId="0" fontId="4" fillId="2" borderId="12" xfId="0" applyFont="1" applyFill="1" applyBorder="1" applyAlignment="1">
      <alignment horizontal="distributed" vertical="center"/>
    </xf>
    <xf numFmtId="0" fontId="4" fillId="2" borderId="18" xfId="0" applyFont="1" applyFill="1" applyBorder="1" applyAlignment="1">
      <alignment horizontal="distributed" vertical="center"/>
    </xf>
    <xf numFmtId="0" fontId="4" fillId="2" borderId="1" xfId="0" applyFont="1" applyFill="1" applyBorder="1" applyAlignment="1">
      <alignment horizontal="distributed" vertical="center"/>
    </xf>
    <xf numFmtId="176" fontId="2" fillId="0" borderId="19" xfId="0" applyNumberFormat="1" applyFont="1" applyBorder="1">
      <alignment vertical="center"/>
    </xf>
    <xf numFmtId="176" fontId="2" fillId="0" borderId="2" xfId="0" applyNumberFormat="1" applyFont="1" applyBorder="1">
      <alignment vertical="center"/>
    </xf>
    <xf numFmtId="176" fontId="2" fillId="0" borderId="22" xfId="0" applyNumberFormat="1" applyFont="1" applyBorder="1">
      <alignment vertical="center"/>
    </xf>
    <xf numFmtId="176" fontId="2" fillId="0" borderId="0" xfId="0" applyNumberFormat="1" applyFont="1" applyBorder="1">
      <alignment vertical="center"/>
    </xf>
    <xf numFmtId="176" fontId="2" fillId="0" borderId="23" xfId="0" applyNumberFormat="1" applyFont="1" applyBorder="1">
      <alignment vertical="center"/>
    </xf>
    <xf numFmtId="176" fontId="2" fillId="0" borderId="12" xfId="0" applyNumberFormat="1"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2" borderId="70" xfId="0" applyFont="1" applyFill="1" applyBorder="1" applyAlignment="1">
      <alignment horizontal="distributed" vertical="center"/>
    </xf>
    <xf numFmtId="0" fontId="4" fillId="2" borderId="71" xfId="0" applyFont="1" applyFill="1" applyBorder="1" applyAlignment="1">
      <alignment horizontal="distributed" vertical="center"/>
    </xf>
    <xf numFmtId="0" fontId="4" fillId="2" borderId="41" xfId="0" applyFont="1" applyFill="1" applyBorder="1" applyAlignment="1">
      <alignment horizontal="distributed" vertical="center"/>
    </xf>
    <xf numFmtId="0" fontId="4" fillId="2" borderId="72" xfId="0" applyFont="1" applyFill="1" applyBorder="1" applyAlignment="1">
      <alignment horizontal="distributed" vertical="center"/>
    </xf>
    <xf numFmtId="0" fontId="4" fillId="2" borderId="59" xfId="0" applyFont="1" applyFill="1" applyBorder="1" applyAlignment="1">
      <alignment horizontal="distributed" vertical="center"/>
    </xf>
    <xf numFmtId="0" fontId="4" fillId="2" borderId="42" xfId="0" applyFont="1" applyFill="1" applyBorder="1" applyAlignment="1">
      <alignment horizontal="distributed" vertical="center"/>
    </xf>
    <xf numFmtId="0" fontId="4" fillId="2" borderId="73" xfId="0" applyFont="1" applyFill="1" applyBorder="1" applyAlignment="1">
      <alignment horizontal="distributed" vertical="center"/>
    </xf>
    <xf numFmtId="0" fontId="4" fillId="2" borderId="74" xfId="0" applyFont="1" applyFill="1" applyBorder="1" applyAlignment="1">
      <alignment horizontal="distributed" vertical="center"/>
    </xf>
    <xf numFmtId="0" fontId="4" fillId="2" borderId="43" xfId="0" applyFont="1" applyFill="1" applyBorder="1" applyAlignment="1">
      <alignment horizontal="distributed" vertical="center"/>
    </xf>
    <xf numFmtId="176" fontId="4" fillId="0" borderId="38" xfId="0" applyNumberFormat="1" applyFont="1" applyBorder="1">
      <alignment vertical="center"/>
    </xf>
    <xf numFmtId="176" fontId="4" fillId="0" borderId="71" xfId="0" applyNumberFormat="1" applyFont="1" applyBorder="1">
      <alignment vertical="center"/>
    </xf>
    <xf numFmtId="176" fontId="4" fillId="0" borderId="39" xfId="0" applyNumberFormat="1" applyFont="1" applyBorder="1">
      <alignment vertical="center"/>
    </xf>
    <xf numFmtId="176" fontId="4" fillId="0" borderId="59" xfId="0" applyNumberFormat="1" applyFont="1" applyBorder="1">
      <alignment vertical="center"/>
    </xf>
    <xf numFmtId="0" fontId="2" fillId="0" borderId="7"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183" fontId="4" fillId="0" borderId="39" xfId="0" applyNumberFormat="1" applyFont="1" applyBorder="1" applyProtection="1">
      <alignment vertical="center"/>
      <protection locked="0"/>
    </xf>
    <xf numFmtId="183" fontId="4" fillId="0" borderId="59" xfId="0" applyNumberFormat="1" applyFont="1" applyBorder="1" applyProtection="1">
      <alignment vertical="center"/>
      <protection locked="0"/>
    </xf>
    <xf numFmtId="183" fontId="4" fillId="0" borderId="40" xfId="0" applyNumberFormat="1" applyFont="1" applyBorder="1" applyProtection="1">
      <alignment vertical="center"/>
      <protection locked="0"/>
    </xf>
    <xf numFmtId="183" fontId="4" fillId="0" borderId="74" xfId="0" applyNumberFormat="1" applyFont="1" applyBorder="1" applyProtection="1">
      <alignment vertical="center"/>
      <protection locked="0"/>
    </xf>
    <xf numFmtId="0" fontId="4" fillId="0" borderId="71" xfId="0" applyFont="1" applyBorder="1" applyAlignment="1">
      <alignment horizontal="center" vertical="center"/>
    </xf>
    <xf numFmtId="0" fontId="4" fillId="0" borderId="75" xfId="0" applyFont="1" applyBorder="1" applyAlignment="1">
      <alignment horizontal="center" vertical="center"/>
    </xf>
    <xf numFmtId="0" fontId="4" fillId="0" borderId="59" xfId="0" applyFont="1" applyBorder="1" applyAlignment="1">
      <alignment horizontal="center" vertical="center"/>
    </xf>
    <xf numFmtId="0" fontId="4" fillId="0" borderId="76" xfId="0" applyFont="1" applyBorder="1" applyAlignment="1">
      <alignment horizontal="center"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49" fontId="2" fillId="0" borderId="2" xfId="0" applyNumberFormat="1" applyFont="1" applyBorder="1" applyAlignment="1">
      <alignment horizontal="center" vertical="center"/>
    </xf>
    <xf numFmtId="0" fontId="24" fillId="0" borderId="2" xfId="0" applyNumberFormat="1" applyFont="1" applyBorder="1" applyAlignment="1">
      <alignment horizontal="center" vertical="center"/>
    </xf>
    <xf numFmtId="0" fontId="24" fillId="0" borderId="0" xfId="0" applyNumberFormat="1" applyFont="1" applyAlignment="1">
      <alignment horizontal="center" vertical="center"/>
    </xf>
    <xf numFmtId="0" fontId="24" fillId="0" borderId="12" xfId="0" applyNumberFormat="1" applyFont="1" applyBorder="1" applyAlignment="1">
      <alignment horizontal="center" vertical="center"/>
    </xf>
    <xf numFmtId="0" fontId="4" fillId="0" borderId="2"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7"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74" xfId="0" applyFont="1" applyBorder="1" applyAlignment="1">
      <alignment horizontal="center" vertical="center"/>
    </xf>
    <xf numFmtId="0" fontId="4" fillId="0" borderId="77"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20" fillId="0" borderId="0" xfId="0" applyFont="1" applyAlignment="1">
      <alignment horizontal="center" vertical="center"/>
    </xf>
    <xf numFmtId="49" fontId="3" fillId="0" borderId="0" xfId="0" applyNumberFormat="1" applyFont="1" applyFill="1" applyAlignment="1" applyProtection="1">
      <alignment horizontal="center" vertical="center"/>
    </xf>
    <xf numFmtId="0" fontId="3" fillId="0" borderId="0" xfId="0" applyFont="1" applyFill="1" applyAlignment="1" applyProtection="1">
      <alignment horizontal="center" vertical="center"/>
    </xf>
    <xf numFmtId="0" fontId="3" fillId="0" borderId="0" xfId="0" applyFont="1">
      <alignmen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pplyFill="1" applyAlignment="1" applyProtection="1">
      <alignment horizontal="center" vertical="center"/>
      <protection locked="0"/>
    </xf>
    <xf numFmtId="0" fontId="4" fillId="2" borderId="22"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25" fillId="0" borderId="26" xfId="0" applyFont="1" applyFill="1" applyBorder="1" applyAlignment="1" applyProtection="1">
      <alignment horizontal="center" vertical="center"/>
      <protection locked="0"/>
    </xf>
    <xf numFmtId="0" fontId="12" fillId="0" borderId="26" xfId="0" applyFont="1" applyFill="1" applyBorder="1" applyAlignment="1" applyProtection="1">
      <alignment horizontal="center" vertical="center"/>
      <protection locked="0"/>
    </xf>
    <xf numFmtId="0" fontId="12" fillId="0" borderId="28"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12" fillId="0" borderId="27" xfId="0" applyFont="1" applyFill="1" applyBorder="1" applyAlignment="1" applyProtection="1">
      <alignment horizontal="center" vertical="center"/>
      <protection locked="0"/>
    </xf>
    <xf numFmtId="0" fontId="12" fillId="0" borderId="25" xfId="0" applyFont="1" applyFill="1" applyBorder="1" applyAlignment="1" applyProtection="1">
      <alignment horizontal="center" vertical="center"/>
      <protection locked="0"/>
    </xf>
    <xf numFmtId="0" fontId="4" fillId="2"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8" xfId="0" applyFont="1" applyFill="1" applyBorder="1" applyAlignment="1">
      <alignment horizontal="center" vertical="center"/>
    </xf>
    <xf numFmtId="0" fontId="2" fillId="0" borderId="7" xfId="0" applyFont="1" applyBorder="1" applyProtection="1">
      <alignment vertical="center"/>
      <protection locked="0"/>
    </xf>
    <xf numFmtId="0" fontId="2" fillId="0" borderId="12" xfId="0" applyFont="1" applyBorder="1" applyProtection="1">
      <alignment vertical="center"/>
      <protection locked="0"/>
    </xf>
    <xf numFmtId="0" fontId="2" fillId="0" borderId="24" xfId="0" applyFont="1" applyBorder="1">
      <alignment vertical="center"/>
    </xf>
    <xf numFmtId="0" fontId="2" fillId="0" borderId="9" xfId="0" applyFont="1" applyBorder="1">
      <alignment vertical="center"/>
    </xf>
    <xf numFmtId="0" fontId="2" fillId="0" borderId="13"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 xfId="0" applyFont="1" applyBorder="1" applyProtection="1">
      <alignment vertical="center"/>
      <protection locked="0"/>
    </xf>
    <xf numFmtId="0" fontId="2" fillId="0" borderId="5" xfId="0" applyFont="1" applyBorder="1" applyProtection="1">
      <alignment vertical="center"/>
      <protection locked="0"/>
    </xf>
    <xf numFmtId="0" fontId="2" fillId="0" borderId="3" xfId="0" applyFont="1" applyBorder="1">
      <alignment vertical="center"/>
    </xf>
    <xf numFmtId="0" fontId="2" fillId="0" borderId="6" xfId="0" applyFont="1" applyBorder="1">
      <alignment vertical="center"/>
    </xf>
    <xf numFmtId="0" fontId="4" fillId="2" borderId="19" xfId="0" applyFont="1" applyFill="1" applyBorder="1" applyAlignment="1">
      <alignment horizontal="distributed" vertical="center" shrinkToFit="1"/>
    </xf>
    <xf numFmtId="0" fontId="4" fillId="2" borderId="2" xfId="0" applyFont="1" applyFill="1" applyBorder="1" applyAlignment="1">
      <alignment horizontal="distributed" vertical="center" shrinkToFit="1"/>
    </xf>
    <xf numFmtId="0" fontId="4" fillId="2" borderId="14" xfId="0" applyFont="1" applyFill="1" applyBorder="1" applyAlignment="1">
      <alignment horizontal="distributed" vertical="center" shrinkToFit="1"/>
    </xf>
    <xf numFmtId="0" fontId="4" fillId="2" borderId="20" xfId="0" applyFont="1" applyFill="1" applyBorder="1" applyAlignment="1">
      <alignment horizontal="distributed" vertical="center" shrinkToFit="1"/>
    </xf>
    <xf numFmtId="0" fontId="4" fillId="2" borderId="5" xfId="0" applyFont="1" applyFill="1" applyBorder="1" applyAlignment="1">
      <alignment horizontal="distributed" vertical="center" shrinkToFit="1"/>
    </xf>
    <xf numFmtId="0" fontId="4" fillId="2" borderId="15" xfId="0" applyFont="1" applyFill="1" applyBorder="1" applyAlignment="1">
      <alignment horizontal="distributed" vertical="center" shrinkToFit="1"/>
    </xf>
    <xf numFmtId="0" fontId="4" fillId="0" borderId="3" xfId="0" applyFont="1" applyBorder="1" applyAlignment="1">
      <alignment vertical="center" shrinkToFit="1"/>
    </xf>
    <xf numFmtId="0" fontId="4" fillId="0" borderId="6" xfId="0" applyFont="1" applyBorder="1" applyAlignment="1">
      <alignment vertical="center" shrinkToFit="1"/>
    </xf>
    <xf numFmtId="0" fontId="4"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8" fillId="0" borderId="0" xfId="0" applyFont="1" applyBorder="1" applyAlignment="1">
      <alignment horizontal="center" vertical="center"/>
    </xf>
    <xf numFmtId="0" fontId="8" fillId="0" borderId="86"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86" xfId="0" applyFont="1" applyBorder="1" applyAlignment="1" applyProtection="1">
      <alignment horizontal="center" vertical="center"/>
      <protection locked="0"/>
    </xf>
    <xf numFmtId="0" fontId="2" fillId="0" borderId="7" xfId="0" applyFont="1" applyBorder="1">
      <alignment vertical="center"/>
    </xf>
    <xf numFmtId="0" fontId="2" fillId="0" borderId="0" xfId="0" applyFont="1" applyBorder="1">
      <alignment vertical="center"/>
    </xf>
    <xf numFmtId="0" fontId="2" fillId="0" borderId="12" xfId="0" applyFont="1" applyBorder="1">
      <alignment vertical="center"/>
    </xf>
    <xf numFmtId="0" fontId="2" fillId="0" borderId="2" xfId="0" applyFont="1" applyBorder="1" applyAlignment="1">
      <alignment vertical="center" shrinkToFit="1"/>
    </xf>
    <xf numFmtId="0" fontId="2" fillId="0" borderId="5" xfId="0" applyFont="1" applyBorder="1" applyAlignment="1">
      <alignment vertical="center" shrinkToFit="1"/>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2" fillId="0" borderId="7"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vertical="center" shrinkToFit="1"/>
    </xf>
    <xf numFmtId="0" fontId="2" fillId="0" borderId="6" xfId="0" applyFont="1" applyBorder="1" applyAlignment="1">
      <alignment vertical="center" shrinkToFi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2" borderId="22" xfId="0" applyFont="1" applyFill="1" applyBorder="1" applyAlignment="1">
      <alignment horizontal="distributed" vertical="center" shrinkToFit="1"/>
    </xf>
    <xf numFmtId="0" fontId="4" fillId="2" borderId="0" xfId="0" applyFont="1" applyFill="1" applyBorder="1" applyAlignment="1">
      <alignment horizontal="distributed" vertical="center" shrinkToFit="1"/>
    </xf>
    <xf numFmtId="0" fontId="4" fillId="2" borderId="17" xfId="0" applyFont="1" applyFill="1" applyBorder="1" applyAlignment="1">
      <alignment horizontal="distributed" vertical="center" shrinkToFit="1"/>
    </xf>
    <xf numFmtId="0" fontId="4" fillId="0" borderId="10" xfId="0" applyFont="1" applyBorder="1" applyAlignment="1">
      <alignment horizontal="center" vertical="center"/>
    </xf>
    <xf numFmtId="0" fontId="4" fillId="0" borderId="11" xfId="0" applyFont="1" applyBorder="1" applyAlignment="1">
      <alignment horizontal="center" vertical="center"/>
    </xf>
    <xf numFmtId="176" fontId="4" fillId="0" borderId="0" xfId="0" applyNumberFormat="1" applyFont="1" applyBorder="1" applyAlignment="1">
      <alignment horizontal="center" vertical="center"/>
    </xf>
    <xf numFmtId="176" fontId="4" fillId="0" borderId="12" xfId="0" applyNumberFormat="1" applyFont="1" applyBorder="1" applyAlignment="1">
      <alignment horizontal="center" vertical="center"/>
    </xf>
    <xf numFmtId="0" fontId="7" fillId="0" borderId="10" xfId="0" applyFont="1" applyBorder="1" applyAlignment="1">
      <alignment horizontal="left" vertical="center"/>
    </xf>
    <xf numFmtId="0" fontId="7" fillId="0" borderId="0" xfId="0" applyFont="1" applyBorder="1" applyAlignment="1">
      <alignment horizontal="left" vertical="center"/>
    </xf>
    <xf numFmtId="176" fontId="7" fillId="0" borderId="1"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176" fontId="7" fillId="0" borderId="19" xfId="0" applyNumberFormat="1" applyFont="1" applyBorder="1" applyAlignment="1">
      <alignment horizontal="center" vertical="center" wrapText="1"/>
    </xf>
    <xf numFmtId="176" fontId="7" fillId="0" borderId="20"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6" xfId="0" applyFont="1" applyBorder="1" applyAlignment="1">
      <alignment horizontal="center" vertical="center"/>
    </xf>
    <xf numFmtId="176" fontId="7" fillId="0" borderId="8"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xf>
    <xf numFmtId="0" fontId="7" fillId="0" borderId="16" xfId="0" applyFont="1" applyBorder="1" applyAlignment="1">
      <alignment horizontal="center" vertical="center"/>
    </xf>
    <xf numFmtId="176" fontId="7" fillId="0" borderId="22" xfId="0" applyNumberFormat="1" applyFont="1" applyBorder="1" applyAlignment="1">
      <alignment horizontal="center" vertical="center" wrapText="1"/>
    </xf>
    <xf numFmtId="176" fontId="7" fillId="0" borderId="0" xfId="0" applyNumberFormat="1" applyFont="1" applyBorder="1" applyAlignment="1">
      <alignment horizontal="center" vertical="center" wrapText="1"/>
    </xf>
    <xf numFmtId="0" fontId="7" fillId="0" borderId="9" xfId="0" applyFont="1" applyBorder="1" applyAlignment="1">
      <alignment horizontal="center" vertical="center"/>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180" fontId="4" fillId="0" borderId="2" xfId="0" applyNumberFormat="1" applyFont="1" applyBorder="1" applyAlignment="1">
      <alignment horizontal="center" vertical="center"/>
    </xf>
    <xf numFmtId="180" fontId="4" fillId="0" borderId="0" xfId="0" applyNumberFormat="1" applyFont="1" applyBorder="1" applyAlignment="1">
      <alignment horizontal="center" vertical="center"/>
    </xf>
    <xf numFmtId="176" fontId="7" fillId="0" borderId="8"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0" fontId="7" fillId="0" borderId="2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42" xfId="0" applyFont="1" applyBorder="1" applyAlignment="1">
      <alignment horizontal="center" vertical="center" wrapText="1"/>
    </xf>
    <xf numFmtId="0" fontId="7" fillId="0" borderId="33" xfId="0" applyFont="1" applyBorder="1" applyAlignment="1">
      <alignment horizontal="center" vertical="center"/>
    </xf>
    <xf numFmtId="0" fontId="7" fillId="0" borderId="42" xfId="0" applyFont="1" applyBorder="1" applyAlignment="1">
      <alignment horizontal="center" vertical="center"/>
    </xf>
    <xf numFmtId="0" fontId="7" fillId="0" borderId="34" xfId="0" applyFont="1" applyBorder="1" applyAlignment="1">
      <alignment horizontal="center" vertical="center"/>
    </xf>
    <xf numFmtId="0" fontId="7" fillId="0" borderId="43"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7" fillId="0" borderId="41" xfId="0" applyFont="1" applyBorder="1" applyAlignment="1">
      <alignment horizontal="center" vertical="center" wrapText="1"/>
    </xf>
    <xf numFmtId="0" fontId="7" fillId="0" borderId="30"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29" xfId="0" applyFont="1" applyBorder="1" applyAlignment="1">
      <alignment horizontal="center" vertical="center" wrapText="1"/>
    </xf>
    <xf numFmtId="0" fontId="2" fillId="0" borderId="0" xfId="0" applyFont="1" applyAlignment="1">
      <alignment vertical="center" shrinkToFit="1"/>
    </xf>
    <xf numFmtId="49" fontId="3" fillId="0" borderId="0" xfId="0" applyNumberFormat="1" applyFont="1" applyAlignment="1">
      <alignment horizontal="center" vertical="center"/>
    </xf>
    <xf numFmtId="0" fontId="7" fillId="0" borderId="30" xfId="0" applyFont="1" applyBorder="1" applyAlignment="1">
      <alignment horizontal="center" vertical="center" wrapText="1"/>
    </xf>
    <xf numFmtId="0" fontId="7" fillId="0" borderId="31" xfId="0" applyFont="1" applyBorder="1" applyAlignment="1">
      <alignment horizontal="center" vertical="center"/>
    </xf>
    <xf numFmtId="49" fontId="0" fillId="0" borderId="0" xfId="0" applyNumberFormat="1">
      <alignment vertical="center"/>
    </xf>
    <xf numFmtId="0" fontId="0" fillId="0" borderId="0" xfId="0" applyNumberFormat="1">
      <alignment vertical="center"/>
    </xf>
  </cellXfs>
  <cellStyles count="1">
    <cellStyle name="標準" xfId="0" builtinId="0"/>
  </cellStyles>
  <dxfs count="30">
    <dxf>
      <fill>
        <patternFill>
          <bgColor rgb="FFFFCC66"/>
        </patternFill>
      </fill>
    </dxf>
    <dxf>
      <fill>
        <patternFill>
          <bgColor rgb="FFFFCC66"/>
        </patternFill>
      </fill>
    </dxf>
    <dxf>
      <fill>
        <patternFill>
          <bgColor theme="7"/>
        </patternFill>
      </fill>
    </dxf>
    <dxf>
      <fill>
        <patternFill>
          <bgColor rgb="FFFFC000"/>
        </patternFill>
      </fill>
    </dxf>
    <dxf>
      <fill>
        <patternFill>
          <bgColor rgb="FFFFC000"/>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FF99"/>
        </patternFill>
      </fill>
    </dxf>
    <dxf>
      <fill>
        <patternFill>
          <bgColor rgb="FFFFFF99"/>
        </patternFill>
      </fill>
    </dxf>
    <dxf>
      <fill>
        <patternFill>
          <bgColor rgb="FFFFCC66"/>
        </patternFill>
      </fill>
    </dxf>
    <dxf>
      <fill>
        <patternFill>
          <bgColor rgb="FFFFFF99"/>
        </patternFill>
      </fill>
    </dxf>
    <dxf>
      <fill>
        <patternFill>
          <bgColor rgb="FFFFFF99"/>
        </patternFill>
      </fill>
    </dxf>
    <dxf>
      <fill>
        <patternFill>
          <bgColor rgb="FFFFFF99"/>
        </patternFill>
      </fill>
    </dxf>
    <dxf>
      <fill>
        <patternFill>
          <bgColor rgb="FFFFCC66"/>
        </patternFill>
      </fill>
    </dxf>
    <dxf>
      <fill>
        <patternFill>
          <bgColor rgb="FFFFCC66"/>
        </patternFill>
      </fill>
    </dxf>
    <dxf>
      <fill>
        <patternFill>
          <bgColor rgb="FFFFC000"/>
        </patternFill>
      </fill>
    </dxf>
    <dxf>
      <fill>
        <patternFill>
          <bgColor rgb="FFFFC000"/>
        </patternFill>
      </fill>
    </dxf>
    <dxf>
      <fill>
        <patternFill>
          <bgColor rgb="FFFFC000"/>
        </patternFill>
      </fill>
    </dxf>
    <dxf>
      <fill>
        <patternFill>
          <bgColor rgb="FFFFCC66"/>
        </patternFill>
      </fill>
    </dxf>
  </dxfs>
  <tableStyles count="0" defaultTableStyle="TableStyleMedium2" defaultPivotStyle="PivotStyleLight16"/>
  <colors>
    <mruColors>
      <color rgb="FFFFCC66"/>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G9" sqref="G9"/>
    </sheetView>
  </sheetViews>
  <sheetFormatPr defaultRowHeight="13.5"/>
  <cols>
    <col min="1" max="2" width="15.625" style="98" customWidth="1"/>
    <col min="3" max="16384" width="9" style="98"/>
  </cols>
  <sheetData>
    <row r="1" spans="1:9" ht="22.5" customHeight="1">
      <c r="A1" s="98" t="s">
        <v>130</v>
      </c>
      <c r="I1" s="98" t="s">
        <v>155</v>
      </c>
    </row>
    <row r="2" spans="1:9" ht="22.5" customHeight="1">
      <c r="A2" s="83" t="s">
        <v>131</v>
      </c>
      <c r="B2" s="84"/>
      <c r="C2" s="84"/>
      <c r="D2" s="84"/>
      <c r="E2" s="84"/>
      <c r="F2" s="85"/>
    </row>
    <row r="3" spans="1:9" ht="22.5" customHeight="1">
      <c r="A3" s="86" t="s">
        <v>128</v>
      </c>
      <c r="B3" s="87"/>
      <c r="C3" s="87"/>
      <c r="D3" s="87"/>
      <c r="E3" s="87"/>
      <c r="F3" s="88"/>
    </row>
    <row r="4" spans="1:9" ht="22.5" customHeight="1">
      <c r="A4" s="86" t="s">
        <v>129</v>
      </c>
      <c r="B4" s="87"/>
      <c r="C4" s="87"/>
      <c r="D4" s="87"/>
      <c r="E4" s="87"/>
      <c r="F4" s="88"/>
    </row>
    <row r="5" spans="1:9" ht="22.5" customHeight="1">
      <c r="A5" s="136" t="s">
        <v>149</v>
      </c>
      <c r="B5" s="89"/>
      <c r="C5" s="89"/>
      <c r="D5" s="89"/>
      <c r="E5" s="89"/>
      <c r="F5" s="90"/>
    </row>
    <row r="6" spans="1:9" ht="22.5" customHeight="1">
      <c r="A6" s="98" t="s">
        <v>132</v>
      </c>
    </row>
    <row r="7" spans="1:9" ht="22.5" customHeight="1">
      <c r="A7" s="98" t="s">
        <v>133</v>
      </c>
    </row>
    <row r="8" spans="1:9" ht="22.5" customHeight="1"/>
    <row r="9" spans="1:9" ht="22.5" customHeight="1">
      <c r="A9" s="98" t="s">
        <v>156</v>
      </c>
    </row>
    <row r="10" spans="1:9" ht="22.5" customHeight="1">
      <c r="A10" s="80" t="s">
        <v>127</v>
      </c>
      <c r="B10" s="79" t="s">
        <v>126</v>
      </c>
    </row>
    <row r="11" spans="1:9" ht="22.5" customHeight="1">
      <c r="A11" s="81" t="s">
        <v>117</v>
      </c>
      <c r="B11" s="192">
        <v>45784</v>
      </c>
    </row>
    <row r="12" spans="1:9" ht="22.5" customHeight="1">
      <c r="A12" s="81" t="s">
        <v>118</v>
      </c>
      <c r="B12" s="192">
        <v>45813</v>
      </c>
    </row>
    <row r="13" spans="1:9" ht="22.5" customHeight="1">
      <c r="A13" s="81" t="s">
        <v>119</v>
      </c>
      <c r="B13" s="192">
        <v>45845</v>
      </c>
    </row>
    <row r="14" spans="1:9" ht="22.5" customHeight="1">
      <c r="A14" s="81" t="s">
        <v>120</v>
      </c>
      <c r="B14" s="192">
        <v>45874</v>
      </c>
    </row>
    <row r="15" spans="1:9" ht="22.5" customHeight="1">
      <c r="A15" s="81" t="s">
        <v>121</v>
      </c>
      <c r="B15" s="192">
        <v>45905</v>
      </c>
    </row>
    <row r="16" spans="1:9" ht="22.5" customHeight="1">
      <c r="A16" s="81" t="s">
        <v>122</v>
      </c>
      <c r="B16" s="192">
        <v>45936</v>
      </c>
      <c r="C16" s="96"/>
      <c r="D16" s="95"/>
      <c r="E16" s="97"/>
    </row>
    <row r="17" spans="1:6" ht="22.5" customHeight="1">
      <c r="A17" s="81" t="s">
        <v>136</v>
      </c>
      <c r="B17" s="192">
        <v>45966</v>
      </c>
      <c r="C17" s="95"/>
      <c r="D17" s="95"/>
      <c r="E17" s="95"/>
      <c r="F17" s="95"/>
    </row>
    <row r="18" spans="1:6" ht="22.5" customHeight="1">
      <c r="A18" s="81" t="s">
        <v>135</v>
      </c>
      <c r="B18" s="192">
        <v>45996</v>
      </c>
      <c r="C18" s="95"/>
      <c r="D18" s="95"/>
      <c r="E18" s="95"/>
      <c r="F18" s="95"/>
    </row>
    <row r="19" spans="1:6" ht="22.5" customHeight="1">
      <c r="A19" s="81" t="s">
        <v>137</v>
      </c>
      <c r="B19" s="192">
        <v>46027</v>
      </c>
      <c r="C19" s="95"/>
      <c r="D19" s="95"/>
      <c r="E19" s="95"/>
      <c r="F19" s="95"/>
    </row>
    <row r="20" spans="1:6" ht="22.5" customHeight="1">
      <c r="A20" s="81" t="s">
        <v>123</v>
      </c>
      <c r="B20" s="192">
        <v>46058</v>
      </c>
      <c r="C20" s="95"/>
      <c r="D20" s="95"/>
      <c r="E20" s="95"/>
      <c r="F20" s="95"/>
    </row>
    <row r="21" spans="1:6" ht="22.5" customHeight="1">
      <c r="A21" s="81" t="s">
        <v>124</v>
      </c>
      <c r="B21" s="192">
        <v>46086</v>
      </c>
      <c r="C21" s="95"/>
      <c r="D21" s="95"/>
      <c r="E21" s="95"/>
      <c r="F21" s="95"/>
    </row>
    <row r="22" spans="1:6" ht="22.5" customHeight="1">
      <c r="A22" s="82" t="s">
        <v>125</v>
      </c>
      <c r="B22" s="193">
        <v>46118</v>
      </c>
      <c r="C22" s="95"/>
      <c r="D22" s="95"/>
      <c r="E22" s="95"/>
      <c r="F22" s="95"/>
    </row>
    <row r="23" spans="1:6">
      <c r="D23" s="198"/>
      <c r="E23" s="198"/>
    </row>
  </sheetData>
  <phoneticPr fontId="1"/>
  <dataValidations count="1">
    <dataValidation imeMode="hiragana" allowBlank="1" showInputMessage="1" showErrorMessage="1" sqref="A9"/>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23"/>
  <sheetViews>
    <sheetView showGridLines="0" tabSelected="1" zoomScaleNormal="100" workbookViewId="0">
      <pane xSplit="2" ySplit="13" topLeftCell="C14" activePane="bottomRight" state="frozen"/>
      <selection pane="topRight" activeCell="C1" sqref="C1"/>
      <selection pane="bottomLeft" activeCell="A9" sqref="A9"/>
      <selection pane="bottomRight" activeCell="AB17" sqref="AB17"/>
    </sheetView>
  </sheetViews>
  <sheetFormatPr defaultRowHeight="14.25"/>
  <cols>
    <col min="1" max="1" width="5" style="16" customWidth="1"/>
    <col min="2" max="4" width="10.625" style="13" customWidth="1"/>
    <col min="5" max="5" width="5" style="13" customWidth="1"/>
    <col min="6" max="6" width="5" style="21" customWidth="1"/>
    <col min="7" max="7" width="5.75" style="21" customWidth="1"/>
    <col min="8" max="8" width="4.375" style="21" customWidth="1"/>
    <col min="9" max="9" width="2.625" style="21" customWidth="1"/>
    <col min="10" max="10" width="2.25" style="21" customWidth="1"/>
    <col min="11" max="11" width="2.625" style="21" customWidth="1"/>
    <col min="12" max="12" width="2.25" style="21" customWidth="1"/>
    <col min="13" max="13" width="2.625" style="21" customWidth="1"/>
    <col min="14" max="14" width="2.25" style="21" customWidth="1"/>
    <col min="15" max="15" width="5" style="21" customWidth="1"/>
    <col min="16" max="18" width="4.625" style="21" customWidth="1"/>
    <col min="19" max="19" width="6.25" style="21" customWidth="1"/>
    <col min="20" max="20" width="6.25" style="21" bestFit="1" customWidth="1"/>
    <col min="21" max="21" width="9" style="13"/>
    <col min="22" max="22" width="9" style="21"/>
    <col min="23" max="23" width="9" style="13"/>
    <col min="24" max="24" width="15" style="21" bestFit="1" customWidth="1"/>
    <col min="25" max="25" width="4.375" style="21" customWidth="1"/>
    <col min="26" max="26" width="2.625" style="21" customWidth="1"/>
    <col min="27" max="27" width="2.25" style="21" customWidth="1"/>
    <col min="28" max="28" width="2.625" style="21" customWidth="1"/>
    <col min="29" max="29" width="2.25" style="21" customWidth="1"/>
    <col min="30" max="30" width="2.625" style="21" customWidth="1"/>
    <col min="31" max="31" width="2.25" style="21" customWidth="1"/>
    <col min="32" max="32" width="5.125" style="21" bestFit="1" customWidth="1"/>
    <col min="33" max="34" width="9" style="16"/>
    <col min="35" max="35" width="9.625" style="39" customWidth="1"/>
    <col min="36" max="36" width="10" style="39" customWidth="1"/>
    <col min="37" max="37" width="10" style="39" hidden="1" customWidth="1"/>
    <col min="38" max="38" width="6.25" style="39" hidden="1" customWidth="1"/>
    <col min="39" max="39" width="10" style="39" hidden="1" customWidth="1"/>
    <col min="40" max="41" width="9.625" style="39" customWidth="1"/>
    <col min="42" max="16384" width="9" style="16"/>
  </cols>
  <sheetData>
    <row r="1" spans="1:41" s="22" customFormat="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I1" s="39"/>
      <c r="AJ1" s="39"/>
      <c r="AK1" s="39"/>
      <c r="AL1" s="39"/>
      <c r="AM1" s="39"/>
      <c r="AN1" s="39"/>
      <c r="AO1" s="39"/>
    </row>
    <row r="2" spans="1:41" s="22" customFormat="1">
      <c r="B2" s="195" t="s">
        <v>157</v>
      </c>
      <c r="C2" s="196" t="s">
        <v>154</v>
      </c>
      <c r="D2" s="21"/>
      <c r="E2" s="21"/>
      <c r="F2" s="21"/>
      <c r="G2" s="21"/>
      <c r="H2" s="21"/>
      <c r="I2" s="21"/>
      <c r="J2" s="21"/>
      <c r="K2" s="21"/>
      <c r="L2" s="21"/>
      <c r="M2" s="21"/>
      <c r="N2" s="21"/>
      <c r="O2" s="21"/>
      <c r="P2" s="21"/>
      <c r="Q2" s="21"/>
      <c r="R2" s="21"/>
      <c r="S2" s="21"/>
      <c r="T2" s="21"/>
      <c r="U2" s="60"/>
      <c r="V2" s="39" t="s">
        <v>147</v>
      </c>
      <c r="W2" s="21"/>
      <c r="X2" s="21"/>
      <c r="Y2" s="21"/>
      <c r="Z2" s="21"/>
      <c r="AA2" s="21"/>
      <c r="AB2" s="21"/>
      <c r="AC2" s="21"/>
      <c r="AD2" s="21"/>
      <c r="AE2" s="21"/>
      <c r="AF2" s="21"/>
      <c r="AI2" s="39"/>
      <c r="AJ2" s="39"/>
      <c r="AK2" s="39"/>
      <c r="AL2" s="39"/>
      <c r="AM2" s="39"/>
      <c r="AN2" s="39"/>
      <c r="AO2" s="39"/>
    </row>
    <row r="3" spans="1:41" s="22" customFormat="1" ht="15.75">
      <c r="B3" s="91" t="s">
        <v>152</v>
      </c>
      <c r="C3" s="197">
        <v>20</v>
      </c>
      <c r="D3" s="21"/>
      <c r="E3" s="58" t="s">
        <v>97</v>
      </c>
      <c r="F3" s="21"/>
      <c r="G3" s="21"/>
      <c r="H3" s="21"/>
      <c r="I3" s="21"/>
      <c r="J3" s="21"/>
      <c r="K3" s="21"/>
      <c r="L3" s="21"/>
      <c r="M3" s="21"/>
      <c r="N3" s="21"/>
      <c r="O3" s="21"/>
      <c r="P3" s="21"/>
      <c r="Q3" s="21"/>
      <c r="R3" s="21"/>
      <c r="S3" s="21"/>
      <c r="T3" s="21"/>
      <c r="U3" s="59"/>
      <c r="V3" s="39" t="s">
        <v>148</v>
      </c>
      <c r="W3" s="21"/>
      <c r="X3" s="21"/>
      <c r="Y3" s="21"/>
      <c r="Z3" s="21"/>
      <c r="AA3" s="21"/>
      <c r="AB3" s="21"/>
      <c r="AC3" s="21"/>
      <c r="AD3" s="21"/>
      <c r="AE3" s="21"/>
      <c r="AF3" s="21"/>
      <c r="AI3" s="39"/>
      <c r="AJ3" s="39"/>
      <c r="AK3" s="39"/>
      <c r="AL3" s="39"/>
      <c r="AM3" s="39"/>
      <c r="AN3" s="39"/>
      <c r="AO3" s="39"/>
    </row>
    <row r="4" spans="1:41" s="22" customFormat="1">
      <c r="B4" s="92" t="s">
        <v>88</v>
      </c>
      <c r="C4" s="93">
        <f>SUM(AO14:AO23)</f>
        <v>0</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I4" s="39"/>
      <c r="AJ4" s="39"/>
      <c r="AK4" s="39"/>
      <c r="AL4" s="39"/>
      <c r="AM4" s="39"/>
      <c r="AN4" s="39"/>
      <c r="AO4" s="39"/>
    </row>
    <row r="5" spans="1:41">
      <c r="A5" s="50" t="s">
        <v>89</v>
      </c>
      <c r="B5" s="20">
        <v>45748</v>
      </c>
      <c r="D5" s="20"/>
      <c r="X5" s="65"/>
      <c r="AJ5" s="77"/>
      <c r="AK5" s="77"/>
      <c r="AL5" s="77"/>
      <c r="AM5" s="77"/>
    </row>
    <row r="6" spans="1:41" ht="20.25" customHeight="1">
      <c r="A6" s="39"/>
      <c r="B6" s="39"/>
      <c r="I6" s="200" t="s">
        <v>91</v>
      </c>
      <c r="J6" s="201"/>
      <c r="K6" s="201"/>
      <c r="L6" s="201"/>
      <c r="M6" s="201"/>
      <c r="N6" s="201"/>
      <c r="O6" s="202"/>
      <c r="P6" s="199"/>
      <c r="Q6" s="199"/>
      <c r="R6" s="199"/>
      <c r="S6" s="199"/>
      <c r="T6" s="199"/>
    </row>
    <row r="7" spans="1:41" ht="20.25" customHeight="1">
      <c r="A7" s="39" t="s">
        <v>111</v>
      </c>
      <c r="B7" s="39"/>
      <c r="I7" s="200" t="s">
        <v>92</v>
      </c>
      <c r="J7" s="201"/>
      <c r="K7" s="201"/>
      <c r="L7" s="201"/>
      <c r="M7" s="201"/>
      <c r="N7" s="201"/>
      <c r="O7" s="202"/>
      <c r="P7" s="199"/>
      <c r="Q7" s="199"/>
      <c r="R7" s="199"/>
      <c r="S7" s="199"/>
      <c r="T7" s="199"/>
    </row>
    <row r="8" spans="1:41" ht="20.25" customHeight="1">
      <c r="A8" s="39" t="s">
        <v>90</v>
      </c>
      <c r="I8" s="200" t="s">
        <v>93</v>
      </c>
      <c r="J8" s="201"/>
      <c r="K8" s="201"/>
      <c r="L8" s="201"/>
      <c r="M8" s="201"/>
      <c r="N8" s="201"/>
      <c r="O8" s="202"/>
      <c r="P8" s="203"/>
      <c r="Q8" s="204"/>
      <c r="R8" s="204"/>
      <c r="S8" s="204"/>
      <c r="T8" s="205"/>
    </row>
    <row r="9" spans="1:41" ht="20.25" customHeight="1">
      <c r="I9" s="200" t="s">
        <v>94</v>
      </c>
      <c r="J9" s="201"/>
      <c r="K9" s="201"/>
      <c r="L9" s="201"/>
      <c r="M9" s="201"/>
      <c r="N9" s="201"/>
      <c r="O9" s="202"/>
      <c r="P9" s="199"/>
      <c r="Q9" s="199"/>
      <c r="R9" s="199"/>
      <c r="S9" s="199"/>
      <c r="T9" s="199"/>
    </row>
    <row r="10" spans="1:41" s="70" customFormat="1" ht="16.5" customHeight="1">
      <c r="B10" s="21"/>
      <c r="C10" s="21"/>
      <c r="D10" s="21"/>
      <c r="E10" s="21"/>
      <c r="F10" s="21"/>
      <c r="G10" s="21"/>
      <c r="H10" s="21"/>
      <c r="I10" s="71"/>
      <c r="J10" s="71"/>
      <c r="K10" s="71"/>
      <c r="L10" s="71"/>
      <c r="M10" s="71"/>
      <c r="N10" s="71"/>
      <c r="O10" s="71"/>
      <c r="P10" s="72"/>
      <c r="Q10" s="72"/>
      <c r="R10" s="72"/>
      <c r="S10" s="72"/>
      <c r="T10" s="72"/>
      <c r="U10" s="21"/>
      <c r="V10" s="21"/>
      <c r="W10" s="21"/>
      <c r="X10" s="21"/>
      <c r="Y10" s="21"/>
      <c r="Z10" s="21"/>
      <c r="AA10" s="21"/>
      <c r="AB10" s="21"/>
      <c r="AC10" s="21"/>
      <c r="AD10" s="21"/>
      <c r="AE10" s="21"/>
      <c r="AF10" s="21"/>
      <c r="AI10" s="39"/>
      <c r="AJ10" s="39"/>
      <c r="AK10" s="39"/>
      <c r="AL10" s="39"/>
      <c r="AM10" s="39"/>
      <c r="AN10" s="39"/>
      <c r="AO10" s="39"/>
    </row>
    <row r="11" spans="1:41" ht="16.5" customHeight="1">
      <c r="A11" s="215" t="s">
        <v>81</v>
      </c>
      <c r="B11" s="220" t="s">
        <v>67</v>
      </c>
      <c r="C11" s="221"/>
      <c r="D11" s="221"/>
      <c r="E11" s="221"/>
      <c r="F11" s="221"/>
      <c r="G11" s="221"/>
      <c r="H11" s="221"/>
      <c r="I11" s="221"/>
      <c r="J11" s="221"/>
      <c r="K11" s="221"/>
      <c r="L11" s="221"/>
      <c r="M11" s="221"/>
      <c r="N11" s="221"/>
      <c r="O11" s="222"/>
      <c r="P11" s="208" t="s">
        <v>77</v>
      </c>
      <c r="Q11" s="209"/>
      <c r="R11" s="210"/>
      <c r="S11" s="213" t="s">
        <v>78</v>
      </c>
      <c r="T11" s="214"/>
      <c r="U11" s="220" t="s">
        <v>65</v>
      </c>
      <c r="V11" s="221"/>
      <c r="W11" s="222"/>
      <c r="X11" s="220" t="str">
        <f>SUBSTITUTE(C2,"分","")&amp;"の途中で異動があった場合に記入"</f>
        <v>４月の途中で異動があった場合に記入</v>
      </c>
      <c r="Y11" s="221"/>
      <c r="Z11" s="221"/>
      <c r="AA11" s="221"/>
      <c r="AB11" s="221"/>
      <c r="AC11" s="221"/>
      <c r="AD11" s="221"/>
      <c r="AE11" s="221"/>
      <c r="AF11" s="222"/>
      <c r="AG11" s="217" t="s">
        <v>83</v>
      </c>
      <c r="AH11" s="206"/>
      <c r="AI11" s="206" t="s">
        <v>84</v>
      </c>
      <c r="AJ11" s="223" t="str">
        <f>"支払予定額"&amp;"("&amp;C2&amp;")"</f>
        <v>支払予定額(４月分)</v>
      </c>
      <c r="AK11" s="223" t="s">
        <v>138</v>
      </c>
      <c r="AL11" s="223" t="s">
        <v>144</v>
      </c>
      <c r="AM11" s="223" t="s">
        <v>139</v>
      </c>
      <c r="AN11" s="223" t="s">
        <v>110</v>
      </c>
      <c r="AO11" s="211" t="s">
        <v>85</v>
      </c>
    </row>
    <row r="12" spans="1:41" s="15" customFormat="1" ht="36" customHeight="1">
      <c r="A12" s="216"/>
      <c r="B12" s="30" t="s">
        <v>61</v>
      </c>
      <c r="C12" s="31" t="s">
        <v>14</v>
      </c>
      <c r="D12" s="31" t="s">
        <v>39</v>
      </c>
      <c r="E12" s="31" t="s">
        <v>62</v>
      </c>
      <c r="F12" s="34" t="s">
        <v>73</v>
      </c>
      <c r="G12" s="34" t="s">
        <v>74</v>
      </c>
      <c r="H12" s="218" t="s">
        <v>86</v>
      </c>
      <c r="I12" s="219"/>
      <c r="J12" s="219"/>
      <c r="K12" s="219"/>
      <c r="L12" s="219"/>
      <c r="M12" s="219"/>
      <c r="N12" s="219"/>
      <c r="O12" s="36" t="s">
        <v>75</v>
      </c>
      <c r="P12" s="62" t="s">
        <v>79</v>
      </c>
      <c r="Q12" s="35" t="s">
        <v>80</v>
      </c>
      <c r="R12" s="34" t="s">
        <v>153</v>
      </c>
      <c r="S12" s="35" t="s">
        <v>79</v>
      </c>
      <c r="T12" s="63" t="s">
        <v>80</v>
      </c>
      <c r="U12" s="30" t="s">
        <v>63</v>
      </c>
      <c r="V12" s="32" t="s">
        <v>69</v>
      </c>
      <c r="W12" s="33" t="s">
        <v>70</v>
      </c>
      <c r="X12" s="30" t="s">
        <v>71</v>
      </c>
      <c r="Y12" s="218" t="s">
        <v>87</v>
      </c>
      <c r="Z12" s="219"/>
      <c r="AA12" s="219"/>
      <c r="AB12" s="219"/>
      <c r="AC12" s="219"/>
      <c r="AD12" s="219"/>
      <c r="AE12" s="219"/>
      <c r="AF12" s="37" t="s">
        <v>76</v>
      </c>
      <c r="AG12" s="38" t="s">
        <v>69</v>
      </c>
      <c r="AH12" s="35" t="s">
        <v>82</v>
      </c>
      <c r="AI12" s="207"/>
      <c r="AJ12" s="225"/>
      <c r="AK12" s="225"/>
      <c r="AL12" s="225"/>
      <c r="AM12" s="225"/>
      <c r="AN12" s="224"/>
      <c r="AO12" s="212"/>
    </row>
    <row r="13" spans="1:41" ht="16.5" customHeight="1">
      <c r="A13" s="64" t="s">
        <v>103</v>
      </c>
      <c r="B13" s="137" t="s">
        <v>104</v>
      </c>
      <c r="C13" s="138" t="s">
        <v>105</v>
      </c>
      <c r="D13" s="139">
        <v>44680</v>
      </c>
      <c r="E13" s="140" t="str">
        <f>IF(D13="","",IF(DATEDIF(D13,$B$5,"Y")=2,"満３",IF(DATEDIF(D13,$B$5,"Y")=3,3,IF(DATEDIF(D13,$B$5,"Y")=4,4,IF(DATEDIF(D13,$B$5,"Y")=5,5,"error!")))))</f>
        <v>満３</v>
      </c>
      <c r="F13" s="141" t="s">
        <v>72</v>
      </c>
      <c r="G13" s="142" t="s">
        <v>68</v>
      </c>
      <c r="H13" s="143" t="s">
        <v>106</v>
      </c>
      <c r="I13" s="144">
        <v>7</v>
      </c>
      <c r="J13" s="145" t="str">
        <f>IF(I13="","","年")</f>
        <v>年</v>
      </c>
      <c r="K13" s="144">
        <v>4</v>
      </c>
      <c r="L13" s="145" t="str">
        <f>IF(K13="","","月")</f>
        <v>月</v>
      </c>
      <c r="M13" s="144">
        <v>28</v>
      </c>
      <c r="N13" s="145" t="str">
        <f>IF(M13="","","日")</f>
        <v>日</v>
      </c>
      <c r="O13" s="146">
        <f>IF(B13="","",IF(K13="",12,IF(K13=5,11,IF(K13=6,10,IF(K13=7,9,IF(K13=8,8,IF(K13=9,7,IF(K13=10,6,IF(K13=11,5,IF(K13=12,4,IF(K13=1,3,IF(K13=2,2,IF(K13=3,1,12)))))))))))))</f>
        <v>12</v>
      </c>
      <c r="P13" s="147">
        <v>28</v>
      </c>
      <c r="Q13" s="148">
        <v>30</v>
      </c>
      <c r="R13" s="148">
        <v>2</v>
      </c>
      <c r="S13" s="149">
        <v>0.375</v>
      </c>
      <c r="T13" s="150">
        <v>0.66666666666666663</v>
      </c>
      <c r="U13" s="137" t="s">
        <v>64</v>
      </c>
      <c r="V13" s="151">
        <v>10000</v>
      </c>
      <c r="W13" s="152">
        <v>7000</v>
      </c>
      <c r="X13" s="153" t="s">
        <v>112</v>
      </c>
      <c r="Y13" s="143" t="s">
        <v>106</v>
      </c>
      <c r="Z13" s="144">
        <v>7</v>
      </c>
      <c r="AA13" s="154" t="s">
        <v>107</v>
      </c>
      <c r="AB13" s="144">
        <v>11</v>
      </c>
      <c r="AC13" s="154" t="s">
        <v>108</v>
      </c>
      <c r="AD13" s="144">
        <v>11</v>
      </c>
      <c r="AE13" s="154" t="s">
        <v>109</v>
      </c>
      <c r="AF13" s="155">
        <v>7</v>
      </c>
      <c r="AG13" s="156">
        <f t="shared" ref="AG13:AG23" si="0">IF(B13="","",IF(OR(X13="転出（継続利用）",X13="転入（継続利用）"),ROUNDDOWN(V13/O13*R13/$C$3,0),ROUNDDOWN(V13/O13,0)))</f>
        <v>833</v>
      </c>
      <c r="AH13" s="157">
        <f t="shared" ref="AH13:AH23" si="1">IF(B13="","",IF(OR(X13="転出（継続利用）",X13="転入（継続利用）"),ROUNDDOWN(W13*R13/$C$3,-1),W13))</f>
        <v>7000</v>
      </c>
      <c r="AI13" s="157">
        <f t="shared" ref="AI13:AI23" si="2">IF(B13="","",ROUNDDOWN(8700*R13/$C$3,0))</f>
        <v>870</v>
      </c>
      <c r="AJ13" s="158">
        <f>IF(B13="","",IF(AI13&gt;AG13+AH13,AG13+AH13,AI13))</f>
        <v>870</v>
      </c>
      <c r="AK13" s="158">
        <f>IF(B13="","",IF(AG13+AH13&gt;8700,0,IF(AG13+AH13+IF(B13="","",IF(OR(AND(AJ13&lt;8700,X13="休園"),AND(AJ13&lt;8700,X13="退園")),(ROUNDDOWN(V13/AF13,-1)-AG13),0))&lt;8700,IF(B13="","",IF(OR(AND(AJ13&lt;8700,X13="休園"),AND(AJ13&lt;8700,X13="退園")),(ROUNDDOWN(V13/AF13,-1)-AG13),0)),8700-AG13-AH13)))</f>
        <v>587</v>
      </c>
      <c r="AL13" s="159">
        <f>IF(B13="","",INDEX(触らない!$B$5:$N$17,IF(K13="",1,MATCH(K13,触らない!$A$5:$A$17,0)),IF(AB13="",1,MATCH(AB13,触らない!$B$4:$N$4,0))))</f>
        <v>0</v>
      </c>
      <c r="AM13" s="158">
        <f>IF(B13="","",IF(AG13+AH13&gt;AI13,0,IF(AG13+AH13+IF(B13="","",IF(OR(AND(AJ13&lt;8700,X13="休園"),AND(AJ13&lt;8700,X13="退園")),(ROUNDDOWN(V13/AF13,-1)-AG13),0))&lt;AI13,IF(B13="","",IF(OR(AND(AJ13&lt;8700,X13="休園"),AND(AJ13&lt;8700,X13="退園")),(ROUNDDOWN(V13/AF13,-1)-AG13),0)),AI13-AG13-AH13)))</f>
        <v>0</v>
      </c>
      <c r="AN13" s="158">
        <f>IF(B13="","",IF(OR(AND(AJ13&lt;8700,X13="休園"),AND(AJ13&lt;8700,X13="退園")),AK13*AL13+AM13,0))</f>
        <v>0</v>
      </c>
      <c r="AO13" s="160">
        <f>IF(B13="","",IF(AND(AN13&gt;0,AJ13&gt;=8700),8700+AN13,IF(AND(AN13&gt;0,AJ13&lt;8700),AJ13+AN13,IF(AND(AN13=0,AJ13&gt;=8700),8700,AJ13))))</f>
        <v>870</v>
      </c>
    </row>
    <row r="14" spans="1:41" s="76" customFormat="1" ht="16.5" customHeight="1">
      <c r="A14" s="64">
        <v>1</v>
      </c>
      <c r="B14" s="161"/>
      <c r="C14" s="162"/>
      <c r="D14" s="163"/>
      <c r="E14" s="67" t="str">
        <f>IF(D14="","",IF(DATEDIF(D14,$B$5,"Y")=2,"満３",IF(DATEDIF(D14,$B$5,"Y")=3,3,IF(DATEDIF(D14,$B$5,"Y")=4,4,IF(DATEDIF(D14,$B$5,"Y")=5,5,"error!")))))</f>
        <v/>
      </c>
      <c r="F14" s="166"/>
      <c r="G14" s="168"/>
      <c r="H14" s="166"/>
      <c r="I14" s="169"/>
      <c r="J14" s="69" t="str">
        <f>IF(I14="","","年")</f>
        <v/>
      </c>
      <c r="K14" s="169"/>
      <c r="L14" s="69" t="str">
        <f>IF(K14="","","月")</f>
        <v/>
      </c>
      <c r="M14" s="169"/>
      <c r="N14" s="68" t="str">
        <f>IF(M14="","","日")</f>
        <v/>
      </c>
      <c r="O14" s="75" t="str">
        <f>IF(B14="","",IF(K14="",12,IF(K14=5,11,IF(K14=6,10,IF(K14=7,9,IF(K14=8,8,IF(K14=9,7,IF(K14=10,6,IF(K14=11,5,IF(K14=12,4,IF(K14=1,3,IF(K14=2,2,IF(K14=3,1,12)))))))))))))</f>
        <v/>
      </c>
      <c r="P14" s="172"/>
      <c r="Q14" s="173"/>
      <c r="R14" s="173"/>
      <c r="S14" s="174"/>
      <c r="T14" s="175"/>
      <c r="U14" s="161"/>
      <c r="V14" s="176"/>
      <c r="W14" s="177"/>
      <c r="X14" s="161"/>
      <c r="Y14" s="166"/>
      <c r="Z14" s="169"/>
      <c r="AA14" s="69" t="str">
        <f t="shared" ref="AA14" si="3">IF(Z14="","","年")</f>
        <v/>
      </c>
      <c r="AB14" s="169"/>
      <c r="AC14" s="69" t="str">
        <f t="shared" ref="AC14" si="4">IF(AB14="","","月")</f>
        <v/>
      </c>
      <c r="AD14" s="169"/>
      <c r="AE14" s="69" t="str">
        <f t="shared" ref="AE14" si="5">IF(AD14="","","日")</f>
        <v/>
      </c>
      <c r="AF14" s="188"/>
      <c r="AG14" s="52" t="str">
        <f t="shared" si="0"/>
        <v/>
      </c>
      <c r="AH14" s="53" t="str">
        <f t="shared" si="1"/>
        <v/>
      </c>
      <c r="AI14" s="53" t="str">
        <f t="shared" si="2"/>
        <v/>
      </c>
      <c r="AJ14" s="73" t="str">
        <f t="shared" ref="AJ14:AJ23" si="6">IF(B14="","",IF(AI14&gt;AG14+AH14,AG14+AH14,AI14))</f>
        <v/>
      </c>
      <c r="AK14" s="73" t="str">
        <f t="shared" ref="AK14:AK23" si="7">IF(B14="","",IF(AG14+AH14&gt;8700,0,IF(AG14+AH14+IF(B14="","",IF(OR(AND(AJ14&lt;8700,X14="休園"),AND(AJ14&lt;8700,X14="退園")),(ROUNDDOWN(V14/AF14,-1)-AG14),0))&lt;8700,IF(B14="","",IF(OR(AND(AJ14&lt;8700,X14="休園"),AND(AJ14&lt;8700,X14="退園")),(ROUNDDOWN(V14/AF14,-1)-AG14),0)),8700-AG14-AH14)))</f>
        <v/>
      </c>
      <c r="AL14" s="119" t="str">
        <f>IF(B14="","",INDEX(触らない!$B$5:$N$17,IF(K14="",1,MATCH(K14,触らない!$A$5:$A$17,0)),IF(AB14="",1,MATCH(AB14,触らない!$B$4:$N$4,0))))</f>
        <v/>
      </c>
      <c r="AM14" s="73" t="str">
        <f t="shared" ref="AM14:AM23" si="8">IF(B14="","",IF(AG14+AH14&gt;AI14,0,IF(AG14+AH14+IF(B14="","",IF(OR(AND(AJ14&lt;8700,X14="休園"),AND(AJ14&lt;8700,X14="退園")),(ROUNDDOWN(V14/AF14,-1)-AG14),0))&lt;AI14,IF(B14="","",IF(OR(AND(AJ14&lt;8700,X14="休園"),AND(AJ14&lt;8700,X14="退園")),(ROUNDDOWN(V14/AF14,-1)-AG14),0)),AI14-AG14-AH14)))</f>
        <v/>
      </c>
      <c r="AN14" s="53" t="str">
        <f t="shared" ref="AN14:AN23" si="9">IF(B14="","",IF(OR(AND(AJ14&lt;8700,X14="休園"),AND(AJ14&lt;8700,X14="退園")),AK14*AL14+AM14,0))</f>
        <v/>
      </c>
      <c r="AO14" s="54" t="str">
        <f t="shared" ref="AO14:AO23" si="10">IF(B14="","",IF(AND(AN14&gt;0,AJ14&gt;=8700),8700+AN14,IF(AND(AN14&gt;0,AJ14&lt;8700),AJ14+AN14,IF(AND(AN14=0,AJ14&gt;=8700),8700,AJ14))))</f>
        <v/>
      </c>
    </row>
    <row r="15" spans="1:41" s="76" customFormat="1" ht="16.5" customHeight="1">
      <c r="A15" s="64">
        <v>2</v>
      </c>
      <c r="B15" s="161"/>
      <c r="C15" s="162"/>
      <c r="D15" s="163"/>
      <c r="E15" s="67" t="str">
        <f>IF(D15="","",IF(DATEDIF(D15,$B$5,"Y")=2,"満３",IF(DATEDIF(D15,$B$5,"Y")=3,3,IF(DATEDIF(D15,$B$5,"Y")=4,4,IF(DATEDIF(D15,$B$5,"Y")=5,5,"error!")))))</f>
        <v/>
      </c>
      <c r="F15" s="166"/>
      <c r="G15" s="168"/>
      <c r="H15" s="166"/>
      <c r="I15" s="169"/>
      <c r="J15" s="69" t="str">
        <f>IF(I15="","","年")</f>
        <v/>
      </c>
      <c r="K15" s="169"/>
      <c r="L15" s="69" t="str">
        <f>IF(K15="","","月")</f>
        <v/>
      </c>
      <c r="M15" s="169"/>
      <c r="N15" s="68" t="str">
        <f>IF(M15="","","日")</f>
        <v/>
      </c>
      <c r="O15" s="75" t="str">
        <f>IF(B15="","",IF(K15="",12,IF(K15=5,11,IF(K15=6,10,IF(K15=7,9,IF(K15=8,8,IF(K15=9,7,IF(K15=10,6,IF(K15=11,5,IF(K15=12,4,IF(K15=1,3,IF(K15=2,2,IF(K15=3,1,12)))))))))))))</f>
        <v/>
      </c>
      <c r="P15" s="172"/>
      <c r="Q15" s="173"/>
      <c r="R15" s="173"/>
      <c r="S15" s="174"/>
      <c r="T15" s="175"/>
      <c r="U15" s="161"/>
      <c r="V15" s="176"/>
      <c r="W15" s="177"/>
      <c r="X15" s="161"/>
      <c r="Y15" s="166"/>
      <c r="Z15" s="169"/>
      <c r="AA15" s="66" t="str">
        <f t="shared" ref="AA15:AA23" si="11">IF(Z15="","","年")</f>
        <v/>
      </c>
      <c r="AB15" s="169"/>
      <c r="AC15" s="66" t="str">
        <f t="shared" ref="AC15:AC23" si="12">IF(AB15="","","月")</f>
        <v/>
      </c>
      <c r="AD15" s="169"/>
      <c r="AE15" s="66" t="str">
        <f t="shared" ref="AE15:AE23" si="13">IF(AD15="","","日")</f>
        <v/>
      </c>
      <c r="AF15" s="188"/>
      <c r="AG15" s="52" t="str">
        <f t="shared" si="0"/>
        <v/>
      </c>
      <c r="AH15" s="53" t="str">
        <f t="shared" si="1"/>
        <v/>
      </c>
      <c r="AI15" s="53" t="str">
        <f t="shared" si="2"/>
        <v/>
      </c>
      <c r="AJ15" s="73" t="str">
        <f t="shared" si="6"/>
        <v/>
      </c>
      <c r="AK15" s="73" t="str">
        <f t="shared" si="7"/>
        <v/>
      </c>
      <c r="AL15" s="119" t="str">
        <f>IF(B15="","",INDEX(触らない!$B$5:$N$17,IF(K15="",1,MATCH(K15,触らない!$A$5:$A$17,0)),IF(AB15="",1,MATCH(AB15,触らない!$B$4:$N$4,0))))</f>
        <v/>
      </c>
      <c r="AM15" s="73" t="str">
        <f t="shared" si="8"/>
        <v/>
      </c>
      <c r="AN15" s="53" t="str">
        <f t="shared" si="9"/>
        <v/>
      </c>
      <c r="AO15" s="54" t="str">
        <f t="shared" si="10"/>
        <v/>
      </c>
    </row>
    <row r="16" spans="1:41" s="76" customFormat="1" ht="16.5" customHeight="1">
      <c r="A16" s="64">
        <v>3</v>
      </c>
      <c r="B16" s="161"/>
      <c r="C16" s="162"/>
      <c r="D16" s="163"/>
      <c r="E16" s="67" t="str">
        <f>IF(D16="","",IF(DATEDIF(D16,$B$5,"Y")=2,"満３",IF(DATEDIF(D16,$B$5,"Y")=3,3,IF(DATEDIF(D16,$B$5,"Y")=4,4,IF(DATEDIF(D16,$B$5,"Y")=5,5,"error!")))))</f>
        <v/>
      </c>
      <c r="F16" s="166"/>
      <c r="G16" s="168"/>
      <c r="H16" s="166"/>
      <c r="I16" s="169"/>
      <c r="J16" s="69" t="str">
        <f>IF(I16="","","年")</f>
        <v/>
      </c>
      <c r="K16" s="169"/>
      <c r="L16" s="69" t="str">
        <f>IF(K16="","","月")</f>
        <v/>
      </c>
      <c r="M16" s="169"/>
      <c r="N16" s="68" t="str">
        <f>IF(M16="","","日")</f>
        <v/>
      </c>
      <c r="O16" s="75" t="str">
        <f>IF(B16="","",IF(K16="",12,IF(K16=5,11,IF(K16=6,10,IF(K16=7,9,IF(K16=8,8,IF(K16=9,7,IF(K16=10,6,IF(K16=11,5,IF(K16=12,4,IF(K16=1,3,IF(K16=2,2,IF(K16=3,1,12)))))))))))))</f>
        <v/>
      </c>
      <c r="P16" s="172"/>
      <c r="Q16" s="173"/>
      <c r="R16" s="173"/>
      <c r="S16" s="174"/>
      <c r="T16" s="175"/>
      <c r="U16" s="161"/>
      <c r="V16" s="176"/>
      <c r="W16" s="177"/>
      <c r="X16" s="161"/>
      <c r="Y16" s="166"/>
      <c r="Z16" s="169"/>
      <c r="AA16" s="66" t="str">
        <f t="shared" si="11"/>
        <v/>
      </c>
      <c r="AB16" s="169"/>
      <c r="AC16" s="66" t="str">
        <f t="shared" si="12"/>
        <v/>
      </c>
      <c r="AD16" s="169"/>
      <c r="AE16" s="66" t="str">
        <f t="shared" si="13"/>
        <v/>
      </c>
      <c r="AF16" s="188"/>
      <c r="AG16" s="52" t="str">
        <f t="shared" si="0"/>
        <v/>
      </c>
      <c r="AH16" s="53" t="str">
        <f t="shared" si="1"/>
        <v/>
      </c>
      <c r="AI16" s="53" t="str">
        <f t="shared" si="2"/>
        <v/>
      </c>
      <c r="AJ16" s="73" t="str">
        <f t="shared" si="6"/>
        <v/>
      </c>
      <c r="AK16" s="73" t="str">
        <f t="shared" si="7"/>
        <v/>
      </c>
      <c r="AL16" s="119" t="str">
        <f>IF(B16="","",INDEX(触らない!$B$5:$N$17,IF(K16="",1,MATCH(K16,触らない!$A$5:$A$17,0)),IF(AB16="",1,MATCH(AB16,触らない!$B$4:$N$4,0))))</f>
        <v/>
      </c>
      <c r="AM16" s="73" t="str">
        <f t="shared" si="8"/>
        <v/>
      </c>
      <c r="AN16" s="53" t="str">
        <f t="shared" si="9"/>
        <v/>
      </c>
      <c r="AO16" s="54" t="str">
        <f t="shared" si="10"/>
        <v/>
      </c>
    </row>
    <row r="17" spans="1:44" s="76" customFormat="1" ht="16.5" customHeight="1">
      <c r="A17" s="64">
        <v>4</v>
      </c>
      <c r="B17" s="161"/>
      <c r="C17" s="162"/>
      <c r="D17" s="163"/>
      <c r="E17" s="67" t="str">
        <f>IF(D17="","",IF(DATEDIF(D17,$B$5,"Y")=2,"満３",IF(DATEDIF(D17,$B$5,"Y")=3,3,IF(DATEDIF(D17,$B$5,"Y")=4,4,IF(DATEDIF(D17,$B$5,"Y")=5,5,"error!")))))</f>
        <v/>
      </c>
      <c r="F17" s="166"/>
      <c r="G17" s="168"/>
      <c r="H17" s="166"/>
      <c r="I17" s="169"/>
      <c r="J17" s="69" t="str">
        <f>IF(I17="","","年")</f>
        <v/>
      </c>
      <c r="K17" s="169"/>
      <c r="L17" s="69" t="str">
        <f>IF(K17="","","月")</f>
        <v/>
      </c>
      <c r="M17" s="169"/>
      <c r="N17" s="68" t="str">
        <f>IF(M17="","","日")</f>
        <v/>
      </c>
      <c r="O17" s="75" t="str">
        <f>IF(B17="","",IF(K17="",12,IF(K17=5,11,IF(K17=6,10,IF(K17=7,9,IF(K17=8,8,IF(K17=9,7,IF(K17=10,6,IF(K17=11,5,IF(K17=12,4,IF(K17=1,3,IF(K17=2,2,IF(K17=3,1,12)))))))))))))</f>
        <v/>
      </c>
      <c r="P17" s="172"/>
      <c r="Q17" s="173"/>
      <c r="R17" s="173"/>
      <c r="S17" s="174"/>
      <c r="T17" s="175"/>
      <c r="U17" s="161"/>
      <c r="V17" s="176"/>
      <c r="W17" s="177"/>
      <c r="X17" s="161"/>
      <c r="Y17" s="166"/>
      <c r="Z17" s="169"/>
      <c r="AA17" s="66" t="str">
        <f t="shared" si="11"/>
        <v/>
      </c>
      <c r="AB17" s="169"/>
      <c r="AC17" s="66" t="str">
        <f t="shared" si="12"/>
        <v/>
      </c>
      <c r="AD17" s="169"/>
      <c r="AE17" s="66" t="str">
        <f t="shared" si="13"/>
        <v/>
      </c>
      <c r="AF17" s="188"/>
      <c r="AG17" s="52" t="str">
        <f t="shared" si="0"/>
        <v/>
      </c>
      <c r="AH17" s="53" t="str">
        <f t="shared" si="1"/>
        <v/>
      </c>
      <c r="AI17" s="53" t="str">
        <f t="shared" si="2"/>
        <v/>
      </c>
      <c r="AJ17" s="73" t="str">
        <f t="shared" si="6"/>
        <v/>
      </c>
      <c r="AK17" s="73" t="str">
        <f t="shared" si="7"/>
        <v/>
      </c>
      <c r="AL17" s="119" t="str">
        <f>IF(B17="","",INDEX(触らない!$B$5:$N$17,IF(K17="",1,MATCH(K17,触らない!$A$5:$A$17,0)),IF(AB17="",1,MATCH(AB17,触らない!$B$4:$N$4,0))))</f>
        <v/>
      </c>
      <c r="AM17" s="73" t="str">
        <f t="shared" si="8"/>
        <v/>
      </c>
      <c r="AN17" s="53" t="str">
        <f t="shared" si="9"/>
        <v/>
      </c>
      <c r="AO17" s="54" t="str">
        <f t="shared" si="10"/>
        <v/>
      </c>
    </row>
    <row r="18" spans="1:44" ht="16.5" customHeight="1">
      <c r="A18" s="23">
        <v>5</v>
      </c>
      <c r="B18" s="161"/>
      <c r="C18" s="162"/>
      <c r="D18" s="163"/>
      <c r="E18" s="51" t="str">
        <f t="shared" ref="E18:E23" si="14">IF(D18="","",IF(DATEDIF(D18,$B$5,"Y")=2,"満３",IF(DATEDIF(D18,$B$5,"Y")=3,3,IF(DATEDIF(D18,$B$5,"Y")=4,4,IF(DATEDIF(D18,$B$5,"Y")=5,5,"error!")))))</f>
        <v/>
      </c>
      <c r="F18" s="166"/>
      <c r="G18" s="168"/>
      <c r="H18" s="166"/>
      <c r="I18" s="169"/>
      <c r="J18" s="66" t="str">
        <f t="shared" ref="J18:J23" si="15">IF(I18="","","年")</f>
        <v/>
      </c>
      <c r="K18" s="169"/>
      <c r="L18" s="66" t="str">
        <f t="shared" ref="L18:L23" si="16">IF(K18="","","月")</f>
        <v/>
      </c>
      <c r="M18" s="169"/>
      <c r="N18" s="40" t="str">
        <f t="shared" ref="N18:N23" si="17">IF(M18="","","日")</f>
        <v/>
      </c>
      <c r="O18" s="75" t="str">
        <f t="shared" ref="O18:O23" si="18">IF(B18="","",IF(K18="",12,IF(K18=5,11,IF(K18=6,10,IF(K18=7,9,IF(K18=8,8,IF(K18=9,7,IF(K18=10,6,IF(K18=11,5,IF(K18=12,4,IF(K18=1,3,IF(K18=2,2,IF(K18=3,1,12)))))))))))))</f>
        <v/>
      </c>
      <c r="P18" s="172"/>
      <c r="Q18" s="173"/>
      <c r="R18" s="173"/>
      <c r="S18" s="174"/>
      <c r="T18" s="175"/>
      <c r="U18" s="161"/>
      <c r="V18" s="176"/>
      <c r="W18" s="177"/>
      <c r="X18" s="161"/>
      <c r="Y18" s="166"/>
      <c r="Z18" s="169"/>
      <c r="AA18" s="66" t="str">
        <f t="shared" si="11"/>
        <v/>
      </c>
      <c r="AB18" s="169"/>
      <c r="AC18" s="66" t="str">
        <f t="shared" si="12"/>
        <v/>
      </c>
      <c r="AD18" s="169"/>
      <c r="AE18" s="66" t="str">
        <f t="shared" si="13"/>
        <v/>
      </c>
      <c r="AF18" s="188"/>
      <c r="AG18" s="52" t="str">
        <f t="shared" si="0"/>
        <v/>
      </c>
      <c r="AH18" s="53" t="str">
        <f t="shared" si="1"/>
        <v/>
      </c>
      <c r="AI18" s="53" t="str">
        <f t="shared" si="2"/>
        <v/>
      </c>
      <c r="AJ18" s="73" t="str">
        <f t="shared" si="6"/>
        <v/>
      </c>
      <c r="AK18" s="73" t="str">
        <f t="shared" si="7"/>
        <v/>
      </c>
      <c r="AL18" s="119" t="str">
        <f>IF(B18="","",INDEX(触らない!$B$5:$N$17,IF(K18="",1,MATCH(K18,触らない!$A$5:$A$17,0)),IF(AB18="",1,MATCH(AB18,触らない!$B$4:$N$4,0))))</f>
        <v/>
      </c>
      <c r="AM18" s="73" t="str">
        <f t="shared" si="8"/>
        <v/>
      </c>
      <c r="AN18" s="53" t="str">
        <f t="shared" si="9"/>
        <v/>
      </c>
      <c r="AO18" s="54" t="str">
        <f t="shared" si="10"/>
        <v/>
      </c>
    </row>
    <row r="19" spans="1:44" ht="16.5" customHeight="1">
      <c r="A19" s="23">
        <v>6</v>
      </c>
      <c r="B19" s="161"/>
      <c r="C19" s="162"/>
      <c r="D19" s="163"/>
      <c r="E19" s="51" t="str">
        <f t="shared" si="14"/>
        <v/>
      </c>
      <c r="F19" s="166"/>
      <c r="G19" s="168"/>
      <c r="H19" s="166"/>
      <c r="I19" s="169"/>
      <c r="J19" s="66" t="str">
        <f t="shared" si="15"/>
        <v/>
      </c>
      <c r="K19" s="169"/>
      <c r="L19" s="66" t="str">
        <f t="shared" si="16"/>
        <v/>
      </c>
      <c r="M19" s="169"/>
      <c r="N19" s="40" t="str">
        <f t="shared" si="17"/>
        <v/>
      </c>
      <c r="O19" s="75" t="str">
        <f t="shared" si="18"/>
        <v/>
      </c>
      <c r="P19" s="178"/>
      <c r="Q19" s="179"/>
      <c r="R19" s="179"/>
      <c r="S19" s="174"/>
      <c r="T19" s="175"/>
      <c r="U19" s="161"/>
      <c r="V19" s="176"/>
      <c r="W19" s="177"/>
      <c r="X19" s="161"/>
      <c r="Y19" s="166"/>
      <c r="Z19" s="169"/>
      <c r="AA19" s="66" t="str">
        <f t="shared" si="11"/>
        <v/>
      </c>
      <c r="AB19" s="169"/>
      <c r="AC19" s="66" t="str">
        <f t="shared" si="12"/>
        <v/>
      </c>
      <c r="AD19" s="169"/>
      <c r="AE19" s="66" t="str">
        <f t="shared" si="13"/>
        <v/>
      </c>
      <c r="AF19" s="188"/>
      <c r="AG19" s="52" t="str">
        <f t="shared" si="0"/>
        <v/>
      </c>
      <c r="AH19" s="53" t="str">
        <f t="shared" si="1"/>
        <v/>
      </c>
      <c r="AI19" s="53" t="str">
        <f t="shared" si="2"/>
        <v/>
      </c>
      <c r="AJ19" s="73" t="str">
        <f t="shared" si="6"/>
        <v/>
      </c>
      <c r="AK19" s="73" t="str">
        <f t="shared" si="7"/>
        <v/>
      </c>
      <c r="AL19" s="119" t="str">
        <f>IF(B19="","",INDEX(触らない!$B$5:$N$17,IF(K19="",1,MATCH(K19,触らない!$A$5:$A$17,0)),IF(AB19="",1,MATCH(AB19,触らない!$B$4:$N$4,0))))</f>
        <v/>
      </c>
      <c r="AM19" s="73" t="str">
        <f t="shared" si="8"/>
        <v/>
      </c>
      <c r="AN19" s="53" t="str">
        <f t="shared" si="9"/>
        <v/>
      </c>
      <c r="AO19" s="54" t="str">
        <f t="shared" si="10"/>
        <v/>
      </c>
    </row>
    <row r="20" spans="1:44" ht="16.5" customHeight="1">
      <c r="A20" s="23">
        <v>7</v>
      </c>
      <c r="B20" s="161"/>
      <c r="C20" s="162"/>
      <c r="D20" s="163"/>
      <c r="E20" s="51" t="str">
        <f t="shared" si="14"/>
        <v/>
      </c>
      <c r="F20" s="166"/>
      <c r="G20" s="168"/>
      <c r="H20" s="166"/>
      <c r="I20" s="169"/>
      <c r="J20" s="66" t="str">
        <f t="shared" si="15"/>
        <v/>
      </c>
      <c r="K20" s="169"/>
      <c r="L20" s="66" t="str">
        <f t="shared" si="16"/>
        <v/>
      </c>
      <c r="M20" s="169"/>
      <c r="N20" s="40" t="str">
        <f t="shared" si="17"/>
        <v/>
      </c>
      <c r="O20" s="75" t="str">
        <f t="shared" si="18"/>
        <v/>
      </c>
      <c r="P20" s="178"/>
      <c r="Q20" s="179"/>
      <c r="R20" s="179"/>
      <c r="S20" s="174"/>
      <c r="T20" s="175"/>
      <c r="U20" s="161"/>
      <c r="V20" s="176"/>
      <c r="W20" s="177"/>
      <c r="X20" s="161"/>
      <c r="Y20" s="166"/>
      <c r="Z20" s="169"/>
      <c r="AA20" s="66" t="str">
        <f t="shared" si="11"/>
        <v/>
      </c>
      <c r="AB20" s="169"/>
      <c r="AC20" s="66" t="str">
        <f t="shared" si="12"/>
        <v/>
      </c>
      <c r="AD20" s="169"/>
      <c r="AE20" s="66" t="str">
        <f t="shared" si="13"/>
        <v/>
      </c>
      <c r="AF20" s="188"/>
      <c r="AG20" s="52" t="str">
        <f t="shared" si="0"/>
        <v/>
      </c>
      <c r="AH20" s="53" t="str">
        <f t="shared" si="1"/>
        <v/>
      </c>
      <c r="AI20" s="53" t="str">
        <f t="shared" si="2"/>
        <v/>
      </c>
      <c r="AJ20" s="73" t="str">
        <f t="shared" si="6"/>
        <v/>
      </c>
      <c r="AK20" s="73" t="str">
        <f t="shared" si="7"/>
        <v/>
      </c>
      <c r="AL20" s="119" t="str">
        <f>IF(B20="","",INDEX(触らない!$B$5:$N$17,IF(K20="",1,MATCH(K20,触らない!$A$5:$A$17,0)),IF(AB20="",1,MATCH(AB20,触らない!$B$4:$N$4,0))))</f>
        <v/>
      </c>
      <c r="AM20" s="73" t="str">
        <f t="shared" si="8"/>
        <v/>
      </c>
      <c r="AN20" s="53" t="str">
        <f t="shared" si="9"/>
        <v/>
      </c>
      <c r="AO20" s="54" t="str">
        <f t="shared" si="10"/>
        <v/>
      </c>
    </row>
    <row r="21" spans="1:44" ht="16.5" customHeight="1">
      <c r="A21" s="23">
        <v>8</v>
      </c>
      <c r="B21" s="161"/>
      <c r="C21" s="162"/>
      <c r="D21" s="163"/>
      <c r="E21" s="51" t="str">
        <f t="shared" si="14"/>
        <v/>
      </c>
      <c r="F21" s="166"/>
      <c r="G21" s="168"/>
      <c r="H21" s="166"/>
      <c r="I21" s="169"/>
      <c r="J21" s="66" t="str">
        <f t="shared" si="15"/>
        <v/>
      </c>
      <c r="K21" s="169"/>
      <c r="L21" s="66" t="str">
        <f t="shared" si="16"/>
        <v/>
      </c>
      <c r="M21" s="169"/>
      <c r="N21" s="40" t="str">
        <f t="shared" si="17"/>
        <v/>
      </c>
      <c r="O21" s="75" t="str">
        <f t="shared" si="18"/>
        <v/>
      </c>
      <c r="P21" s="178"/>
      <c r="Q21" s="179"/>
      <c r="R21" s="179"/>
      <c r="S21" s="180"/>
      <c r="T21" s="181"/>
      <c r="U21" s="161"/>
      <c r="V21" s="176"/>
      <c r="W21" s="177"/>
      <c r="X21" s="161"/>
      <c r="Y21" s="166"/>
      <c r="Z21" s="169"/>
      <c r="AA21" s="66" t="str">
        <f t="shared" si="11"/>
        <v/>
      </c>
      <c r="AB21" s="169"/>
      <c r="AC21" s="66" t="str">
        <f t="shared" si="12"/>
        <v/>
      </c>
      <c r="AD21" s="169"/>
      <c r="AE21" s="66" t="str">
        <f t="shared" si="13"/>
        <v/>
      </c>
      <c r="AF21" s="188"/>
      <c r="AG21" s="52" t="str">
        <f t="shared" si="0"/>
        <v/>
      </c>
      <c r="AH21" s="53" t="str">
        <f t="shared" si="1"/>
        <v/>
      </c>
      <c r="AI21" s="53" t="str">
        <f t="shared" si="2"/>
        <v/>
      </c>
      <c r="AJ21" s="73" t="str">
        <f t="shared" si="6"/>
        <v/>
      </c>
      <c r="AK21" s="73" t="str">
        <f t="shared" si="7"/>
        <v/>
      </c>
      <c r="AL21" s="119" t="str">
        <f>IF(B21="","",INDEX(触らない!$B$5:$N$17,IF(K21="",1,MATCH(K21,触らない!$A$5:$A$17,0)),IF(AB21="",1,MATCH(AB21,触らない!$B$4:$N$4,0))))</f>
        <v/>
      </c>
      <c r="AM21" s="73" t="str">
        <f t="shared" si="8"/>
        <v/>
      </c>
      <c r="AN21" s="53" t="str">
        <f t="shared" si="9"/>
        <v/>
      </c>
      <c r="AO21" s="54" t="str">
        <f t="shared" si="10"/>
        <v/>
      </c>
      <c r="AR21" s="41"/>
    </row>
    <row r="22" spans="1:44" ht="16.5" customHeight="1">
      <c r="A22" s="23">
        <v>9</v>
      </c>
      <c r="B22" s="161"/>
      <c r="C22" s="162"/>
      <c r="D22" s="163"/>
      <c r="E22" s="51" t="str">
        <f t="shared" si="14"/>
        <v/>
      </c>
      <c r="F22" s="166"/>
      <c r="G22" s="168"/>
      <c r="H22" s="166"/>
      <c r="I22" s="169"/>
      <c r="J22" s="66" t="str">
        <f t="shared" si="15"/>
        <v/>
      </c>
      <c r="K22" s="169"/>
      <c r="L22" s="66" t="str">
        <f t="shared" si="16"/>
        <v/>
      </c>
      <c r="M22" s="169"/>
      <c r="N22" s="40" t="str">
        <f t="shared" si="17"/>
        <v/>
      </c>
      <c r="O22" s="75" t="str">
        <f t="shared" si="18"/>
        <v/>
      </c>
      <c r="P22" s="178"/>
      <c r="Q22" s="179"/>
      <c r="R22" s="179"/>
      <c r="S22" s="180"/>
      <c r="T22" s="181"/>
      <c r="U22" s="161"/>
      <c r="V22" s="176"/>
      <c r="W22" s="177"/>
      <c r="X22" s="161"/>
      <c r="Y22" s="166"/>
      <c r="Z22" s="169"/>
      <c r="AA22" s="66" t="str">
        <f t="shared" si="11"/>
        <v/>
      </c>
      <c r="AB22" s="169"/>
      <c r="AC22" s="66" t="str">
        <f t="shared" si="12"/>
        <v/>
      </c>
      <c r="AD22" s="169"/>
      <c r="AE22" s="66" t="str">
        <f t="shared" si="13"/>
        <v/>
      </c>
      <c r="AF22" s="188"/>
      <c r="AG22" s="52" t="str">
        <f t="shared" si="0"/>
        <v/>
      </c>
      <c r="AH22" s="53" t="str">
        <f t="shared" si="1"/>
        <v/>
      </c>
      <c r="AI22" s="53" t="str">
        <f t="shared" si="2"/>
        <v/>
      </c>
      <c r="AJ22" s="73" t="str">
        <f t="shared" si="6"/>
        <v/>
      </c>
      <c r="AK22" s="73" t="str">
        <f t="shared" si="7"/>
        <v/>
      </c>
      <c r="AL22" s="119" t="str">
        <f>IF(B22="","",INDEX(触らない!$B$5:$N$17,IF(K22="",1,MATCH(K22,触らない!$A$5:$A$17,0)),IF(AB22="",1,MATCH(AB22,触らない!$B$4:$N$4,0))))</f>
        <v/>
      </c>
      <c r="AM22" s="73" t="str">
        <f t="shared" si="8"/>
        <v/>
      </c>
      <c r="AN22" s="53" t="str">
        <f t="shared" si="9"/>
        <v/>
      </c>
      <c r="AO22" s="54" t="str">
        <f t="shared" si="10"/>
        <v/>
      </c>
    </row>
    <row r="23" spans="1:44" ht="16.5" customHeight="1">
      <c r="A23" s="61">
        <v>10</v>
      </c>
      <c r="B23" s="164"/>
      <c r="C23" s="165"/>
      <c r="D23" s="194"/>
      <c r="E23" s="127" t="str">
        <f t="shared" si="14"/>
        <v/>
      </c>
      <c r="F23" s="167"/>
      <c r="G23" s="170"/>
      <c r="H23" s="167"/>
      <c r="I23" s="171"/>
      <c r="J23" s="129" t="str">
        <f t="shared" si="15"/>
        <v/>
      </c>
      <c r="K23" s="171"/>
      <c r="L23" s="129" t="str">
        <f t="shared" si="16"/>
        <v/>
      </c>
      <c r="M23" s="171"/>
      <c r="N23" s="128" t="str">
        <f t="shared" si="17"/>
        <v/>
      </c>
      <c r="O23" s="78" t="str">
        <f t="shared" si="18"/>
        <v/>
      </c>
      <c r="P23" s="182"/>
      <c r="Q23" s="183"/>
      <c r="R23" s="183"/>
      <c r="S23" s="184"/>
      <c r="T23" s="185"/>
      <c r="U23" s="164"/>
      <c r="V23" s="186"/>
      <c r="W23" s="187"/>
      <c r="X23" s="164"/>
      <c r="Y23" s="167"/>
      <c r="Z23" s="171"/>
      <c r="AA23" s="129" t="str">
        <f t="shared" si="11"/>
        <v/>
      </c>
      <c r="AB23" s="171"/>
      <c r="AC23" s="129" t="str">
        <f t="shared" si="12"/>
        <v/>
      </c>
      <c r="AD23" s="171"/>
      <c r="AE23" s="129" t="str">
        <f t="shared" si="13"/>
        <v/>
      </c>
      <c r="AF23" s="189"/>
      <c r="AG23" s="55" t="str">
        <f t="shared" si="0"/>
        <v/>
      </c>
      <c r="AH23" s="56" t="str">
        <f t="shared" si="1"/>
        <v/>
      </c>
      <c r="AI23" s="56" t="str">
        <f t="shared" si="2"/>
        <v/>
      </c>
      <c r="AJ23" s="74" t="str">
        <f t="shared" si="6"/>
        <v/>
      </c>
      <c r="AK23" s="74" t="str">
        <f t="shared" si="7"/>
        <v/>
      </c>
      <c r="AL23" s="130" t="str">
        <f>IF(B23="","",INDEX(触らない!$B$5:$N$17,IF(K23="",1,MATCH(K23,触らない!$A$5:$A$17,0)),IF(AB23="",1,MATCH(AB23,触らない!$B$4:$N$4,0))))</f>
        <v/>
      </c>
      <c r="AM23" s="74" t="str">
        <f t="shared" si="8"/>
        <v/>
      </c>
      <c r="AN23" s="56" t="str">
        <f t="shared" si="9"/>
        <v/>
      </c>
      <c r="AO23" s="57" t="str">
        <f t="shared" si="10"/>
        <v/>
      </c>
    </row>
  </sheetData>
  <mergeCells count="24">
    <mergeCell ref="AI11:AI12"/>
    <mergeCell ref="P11:R11"/>
    <mergeCell ref="AO11:AO12"/>
    <mergeCell ref="S11:T11"/>
    <mergeCell ref="A11:A12"/>
    <mergeCell ref="AG11:AH11"/>
    <mergeCell ref="H12:N12"/>
    <mergeCell ref="Y12:AE12"/>
    <mergeCell ref="X11:AF11"/>
    <mergeCell ref="U11:W11"/>
    <mergeCell ref="B11:O11"/>
    <mergeCell ref="AN11:AN12"/>
    <mergeCell ref="AJ11:AJ12"/>
    <mergeCell ref="AK11:AK12"/>
    <mergeCell ref="AM11:AM12"/>
    <mergeCell ref="AL11:AL12"/>
    <mergeCell ref="P6:T6"/>
    <mergeCell ref="P7:T7"/>
    <mergeCell ref="P9:T9"/>
    <mergeCell ref="I9:O9"/>
    <mergeCell ref="I8:O8"/>
    <mergeCell ref="I7:O7"/>
    <mergeCell ref="I6:O6"/>
    <mergeCell ref="P8:T8"/>
  </mergeCells>
  <phoneticPr fontId="1"/>
  <conditionalFormatting sqref="P6:T7 P8:S8 P9:T9">
    <cfRule type="containsBlanks" dxfId="29" priority="12">
      <formula>LEN(TRIM(P6))=0</formula>
    </cfRule>
  </conditionalFormatting>
  <conditionalFormatting sqref="B2">
    <cfRule type="containsBlanks" dxfId="28" priority="11">
      <formula>LEN(TRIM(B2))=0</formula>
    </cfRule>
  </conditionalFormatting>
  <conditionalFormatting sqref="C2">
    <cfRule type="containsBlanks" dxfId="27" priority="10">
      <formula>LEN(TRIM(C2))=0</formula>
    </cfRule>
  </conditionalFormatting>
  <conditionalFormatting sqref="C3">
    <cfRule type="containsBlanks" dxfId="26" priority="9">
      <formula>LEN(TRIM(C3))=0</formula>
    </cfRule>
  </conditionalFormatting>
  <conditionalFormatting sqref="B14:D23">
    <cfRule type="containsBlanks" dxfId="25" priority="13">
      <formula>LEN(TRIM(B14))=0</formula>
    </cfRule>
  </conditionalFormatting>
  <conditionalFormatting sqref="F14:F23">
    <cfRule type="containsBlanks" dxfId="24" priority="7">
      <formula>LEN(TRIM(F14))=0</formula>
    </cfRule>
  </conditionalFormatting>
  <conditionalFormatting sqref="G14:I23">
    <cfRule type="containsBlanks" dxfId="23" priority="6">
      <formula>LEN(TRIM(G14))=0</formula>
    </cfRule>
  </conditionalFormatting>
  <conditionalFormatting sqref="K14:K23">
    <cfRule type="containsBlanks" dxfId="22" priority="5">
      <formula>LEN(TRIM(K14))=0</formula>
    </cfRule>
  </conditionalFormatting>
  <conditionalFormatting sqref="M14:M23">
    <cfRule type="containsBlanks" dxfId="21" priority="4">
      <formula>LEN(TRIM(M14))=0</formula>
    </cfRule>
  </conditionalFormatting>
  <conditionalFormatting sqref="P14:W23">
    <cfRule type="containsBlanks" dxfId="20" priority="3">
      <formula>LEN(TRIM(P14))=0</formula>
    </cfRule>
  </conditionalFormatting>
  <conditionalFormatting sqref="X14:Z23">
    <cfRule type="containsBlanks" dxfId="19" priority="2">
      <formula>LEN(TRIM(X14))=0</formula>
    </cfRule>
  </conditionalFormatting>
  <conditionalFormatting sqref="AB14:AB23 AD14:AD23 AF14:AF23">
    <cfRule type="containsBlanks" dxfId="18" priority="1">
      <formula>LEN(TRIM(AB14))=0</formula>
    </cfRule>
  </conditionalFormatting>
  <dataValidations count="12">
    <dataValidation type="list" allowBlank="1" showInputMessage="1" showErrorMessage="1" sqref="U13:U23">
      <formula1>"月額契約,日額契約,時間契約"</formula1>
    </dataValidation>
    <dataValidation type="list" allowBlank="1" showInputMessage="1" showErrorMessage="1" sqref="X13:X23">
      <formula1>"入園,退園,休園,復園,転出（継続利用）,転入（継続利用）"</formula1>
    </dataValidation>
    <dataValidation type="whole" allowBlank="1" showInputMessage="1" showErrorMessage="1" sqref="AF13:AF23">
      <formula1>1</formula1>
      <formula2>12</formula2>
    </dataValidation>
    <dataValidation type="list" allowBlank="1" showInputMessage="1" showErrorMessage="1" sqref="G13:G23">
      <formula1>" ,○"</formula1>
    </dataValidation>
    <dataValidation type="list" allowBlank="1" showInputMessage="1" showErrorMessage="1" sqref="F13:F23">
      <formula1>"1号,2号,3号"</formula1>
    </dataValidation>
    <dataValidation type="list" imeMode="hiragana" allowBlank="1" showInputMessage="1" showErrorMessage="1" sqref="B2">
      <formula1>"令和６年,令和７年"</formula1>
    </dataValidation>
    <dataValidation type="list" allowBlank="1" showInputMessage="1" showErrorMessage="1" sqref="C2">
      <formula1>"４月分,５月分,６月分,７月分,８月分,９月分,10月分,11月分,12月分,１月分,２月分,３月分"</formula1>
    </dataValidation>
    <dataValidation type="list" allowBlank="1" showInputMessage="1" showErrorMessage="1" sqref="Y13:Y23 H13:H23">
      <formula1>"平成,令和"</formula1>
    </dataValidation>
    <dataValidation type="whole" allowBlank="1" showInputMessage="1" showErrorMessage="1" sqref="P13:R23">
      <formula1>0</formula1>
      <formula2>31</formula2>
    </dataValidation>
    <dataValidation type="whole" operator="lessThan" allowBlank="1" showInputMessage="1" showErrorMessage="1" sqref="V14:W23">
      <formula1>100000</formula1>
    </dataValidation>
    <dataValidation imeMode="hiragana" allowBlank="1" showInputMessage="1" showErrorMessage="1" sqref="B14:B23 P6:T7 P8:S8 P9:T9"/>
    <dataValidation imeMode="fullKatakana" allowBlank="1" showInputMessage="1" showErrorMessage="1" sqref="C14:C23"/>
  </dataValidations>
  <pageMargins left="0.59055118110236227" right="0.59055118110236227" top="0.74803149606299213" bottom="0.74803149606299213" header="0.31496062992125984" footer="0.31496062992125984"/>
  <pageSetup paperSize="9" scale="60" fitToHeight="0" orientation="landscape" blackAndWhite="1" horizontalDpi="0" verticalDpi="0" r:id="rId1"/>
  <headerFooter>
    <oddFooter>&amp;C&amp;P ページ</oddFooter>
  </headerFooter>
  <colBreaks count="1" manualBreakCount="1">
    <brk id="20"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94"/>
  <sheetViews>
    <sheetView showGridLines="0" view="pageBreakPreview" zoomScaleNormal="100" zoomScaleSheetLayoutView="100" workbookViewId="0">
      <selection activeCell="L55" sqref="L55:AC56"/>
    </sheetView>
  </sheetViews>
  <sheetFormatPr defaultRowHeight="13.5"/>
  <cols>
    <col min="1" max="64" width="1.625" style="2" customWidth="1"/>
    <col min="65" max="16384" width="9" style="2"/>
  </cols>
  <sheetData>
    <row r="1" spans="1:60" ht="9.75" customHeight="1">
      <c r="T1" s="338" t="s">
        <v>38</v>
      </c>
      <c r="U1" s="338"/>
      <c r="V1" s="338"/>
      <c r="W1" s="338"/>
      <c r="X1" s="338"/>
      <c r="Y1" s="338"/>
      <c r="Z1" s="338"/>
      <c r="AA1" s="338"/>
      <c r="AB1" s="338"/>
      <c r="AC1" s="338"/>
      <c r="AD1" s="338"/>
      <c r="AE1" s="338"/>
      <c r="AF1" s="338"/>
      <c r="AG1" s="338"/>
      <c r="AH1" s="338"/>
      <c r="AI1" s="338"/>
      <c r="AJ1" s="338"/>
      <c r="AK1" s="338"/>
      <c r="AL1" s="338"/>
      <c r="AM1" s="338"/>
    </row>
    <row r="2" spans="1:60" ht="9.75" customHeight="1">
      <c r="A2" s="3"/>
      <c r="T2" s="338"/>
      <c r="U2" s="338"/>
      <c r="V2" s="338"/>
      <c r="W2" s="338"/>
      <c r="X2" s="338"/>
      <c r="Y2" s="338"/>
      <c r="Z2" s="338"/>
      <c r="AA2" s="338"/>
      <c r="AB2" s="338"/>
      <c r="AC2" s="338"/>
      <c r="AD2" s="338"/>
      <c r="AE2" s="338"/>
      <c r="AF2" s="338"/>
      <c r="AG2" s="338"/>
      <c r="AH2" s="338"/>
      <c r="AI2" s="338"/>
      <c r="AJ2" s="338"/>
      <c r="AK2" s="338"/>
      <c r="AL2" s="338"/>
      <c r="AM2" s="338"/>
    </row>
    <row r="3" spans="1:60" ht="9.75" customHeight="1"/>
    <row r="4" spans="1:60" ht="9.75" customHeight="1">
      <c r="AQ4" s="346" t="s">
        <v>0</v>
      </c>
      <c r="AR4" s="346"/>
      <c r="AS4" s="346"/>
      <c r="AT4" s="346"/>
      <c r="AU4" s="347"/>
      <c r="AV4" s="347"/>
      <c r="AW4" s="347"/>
      <c r="AX4" s="347"/>
      <c r="AY4" s="345" t="s">
        <v>1</v>
      </c>
      <c r="AZ4" s="345"/>
      <c r="BA4" s="347"/>
      <c r="BB4" s="347"/>
      <c r="BC4" s="345" t="s">
        <v>2</v>
      </c>
      <c r="BD4" s="345"/>
      <c r="BE4" s="347"/>
      <c r="BF4" s="347"/>
      <c r="BG4" s="346" t="s">
        <v>3</v>
      </c>
      <c r="BH4" s="346"/>
    </row>
    <row r="5" spans="1:60" ht="9.75" customHeight="1">
      <c r="B5" s="344" t="s">
        <v>4</v>
      </c>
      <c r="C5" s="344"/>
      <c r="D5" s="344"/>
      <c r="E5" s="344"/>
      <c r="F5" s="344"/>
      <c r="G5" s="344"/>
      <c r="H5" s="344"/>
      <c r="I5" s="344"/>
      <c r="J5" s="344"/>
      <c r="K5" s="344"/>
      <c r="L5" s="344"/>
      <c r="M5" s="344"/>
      <c r="AQ5" s="346"/>
      <c r="AR5" s="346"/>
      <c r="AS5" s="346"/>
      <c r="AT5" s="346"/>
      <c r="AU5" s="347"/>
      <c r="AV5" s="347"/>
      <c r="AW5" s="347"/>
      <c r="AX5" s="347"/>
      <c r="AY5" s="345"/>
      <c r="AZ5" s="345"/>
      <c r="BA5" s="347"/>
      <c r="BB5" s="347"/>
      <c r="BC5" s="345"/>
      <c r="BD5" s="345"/>
      <c r="BE5" s="347"/>
      <c r="BF5" s="347"/>
      <c r="BG5" s="346"/>
      <c r="BH5" s="346"/>
    </row>
    <row r="6" spans="1:60" ht="9.75" customHeight="1">
      <c r="B6" s="344"/>
      <c r="C6" s="344"/>
      <c r="D6" s="344"/>
      <c r="E6" s="344"/>
      <c r="F6" s="344"/>
      <c r="G6" s="344"/>
      <c r="H6" s="344"/>
      <c r="I6" s="344"/>
      <c r="J6" s="344"/>
      <c r="K6" s="344"/>
      <c r="L6" s="344"/>
      <c r="M6" s="344"/>
    </row>
    <row r="7" spans="1:60" ht="9.75" customHeight="1"/>
    <row r="8" spans="1:60" ht="9.75" customHeight="1">
      <c r="O8" s="339" t="s">
        <v>5</v>
      </c>
      <c r="P8" s="339"/>
      <c r="Q8" s="339"/>
      <c r="R8" s="339"/>
      <c r="S8" s="339"/>
      <c r="T8" s="339"/>
      <c r="U8" s="339"/>
      <c r="V8" s="339"/>
      <c r="W8" s="339"/>
      <c r="X8" s="339"/>
      <c r="Y8" s="339"/>
      <c r="Z8" s="339"/>
      <c r="AA8" s="339"/>
      <c r="AB8" s="339"/>
      <c r="AC8" s="339"/>
      <c r="AD8" s="339"/>
      <c r="AE8" s="339"/>
      <c r="AF8" s="339"/>
      <c r="AG8" s="339"/>
      <c r="AH8" s="339"/>
      <c r="AI8" s="339"/>
      <c r="AJ8" s="339"/>
      <c r="AK8" s="339"/>
      <c r="AL8" s="339"/>
      <c r="AM8" s="339"/>
      <c r="AN8" s="339"/>
      <c r="AO8" s="339"/>
      <c r="AP8" s="339"/>
      <c r="AQ8" s="339"/>
      <c r="AR8" s="339"/>
    </row>
    <row r="9" spans="1:60" ht="9.75" customHeight="1">
      <c r="O9" s="339"/>
      <c r="P9" s="339"/>
      <c r="Q9" s="339"/>
      <c r="R9" s="339"/>
      <c r="S9" s="339"/>
      <c r="T9" s="339"/>
      <c r="U9" s="339"/>
      <c r="V9" s="339"/>
      <c r="W9" s="339"/>
      <c r="X9" s="339"/>
      <c r="Y9" s="339"/>
      <c r="Z9" s="339"/>
      <c r="AA9" s="339"/>
      <c r="AB9" s="339"/>
      <c r="AC9" s="339"/>
      <c r="AD9" s="339"/>
      <c r="AE9" s="339"/>
      <c r="AF9" s="339"/>
      <c r="AG9" s="339"/>
      <c r="AH9" s="339"/>
      <c r="AI9" s="339"/>
      <c r="AJ9" s="339"/>
      <c r="AK9" s="339"/>
      <c r="AL9" s="339"/>
      <c r="AM9" s="339"/>
      <c r="AN9" s="339"/>
      <c r="AO9" s="339"/>
      <c r="AP9" s="339"/>
      <c r="AQ9" s="339"/>
      <c r="AR9" s="339"/>
    </row>
    <row r="10" spans="1:60" ht="9.75" customHeight="1"/>
    <row r="11" spans="1:60" ht="9.75" customHeight="1">
      <c r="A11" s="341" t="s">
        <v>145</v>
      </c>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c r="BG11" s="341"/>
    </row>
    <row r="12" spans="1:60" ht="9.75" customHeight="1">
      <c r="A12" s="340" t="s">
        <v>6</v>
      </c>
      <c r="B12" s="340"/>
      <c r="C12" s="340"/>
      <c r="D12" s="340"/>
      <c r="E12" s="340"/>
      <c r="F12" s="340"/>
      <c r="G12" s="340"/>
      <c r="H12" s="340"/>
      <c r="I12" s="340"/>
      <c r="J12" s="340"/>
      <c r="K12" s="340"/>
      <c r="L12" s="340"/>
      <c r="M12" s="340"/>
      <c r="N12" s="340"/>
      <c r="O12" s="340"/>
      <c r="P12" s="340"/>
      <c r="Q12" s="340"/>
      <c r="R12" s="340"/>
      <c r="S12" s="340"/>
      <c r="T12" s="340"/>
      <c r="U12" s="340"/>
      <c r="V12" s="340"/>
      <c r="W12" s="340"/>
      <c r="X12" s="340"/>
      <c r="Y12" s="340"/>
      <c r="Z12" s="340"/>
      <c r="AA12" s="340"/>
      <c r="AB12" s="340"/>
      <c r="AC12" s="340"/>
      <c r="AD12" s="340"/>
      <c r="AE12" s="340"/>
      <c r="AF12" s="340"/>
      <c r="AG12" s="340"/>
      <c r="AH12" s="340"/>
      <c r="AI12" s="340"/>
      <c r="AJ12" s="340"/>
      <c r="AK12" s="340"/>
      <c r="AL12" s="340"/>
      <c r="AM12" s="340"/>
      <c r="AN12" s="340"/>
      <c r="AO12" s="340"/>
      <c r="AP12" s="340"/>
      <c r="AQ12" s="340"/>
      <c r="AR12" s="340"/>
      <c r="AS12" s="340"/>
      <c r="AT12" s="340"/>
      <c r="AU12" s="340"/>
      <c r="AV12" s="340"/>
      <c r="AW12" s="340"/>
      <c r="AX12" s="340"/>
      <c r="AY12" s="340"/>
      <c r="AZ12" s="340"/>
      <c r="BA12" s="340"/>
      <c r="BB12" s="340"/>
      <c r="BC12" s="340"/>
      <c r="BD12" s="340"/>
      <c r="BE12" s="340"/>
      <c r="BF12" s="340"/>
      <c r="BG12" s="340"/>
    </row>
    <row r="13" spans="1:60" ht="9.75" customHeight="1"/>
    <row r="14" spans="1:60" ht="9.75" customHeight="1">
      <c r="T14" s="338" t="s">
        <v>36</v>
      </c>
      <c r="U14" s="338"/>
      <c r="V14" s="343" t="str">
        <f>①園入力用名簿!B2</f>
        <v>令和７年</v>
      </c>
      <c r="W14" s="343"/>
      <c r="X14" s="343"/>
      <c r="Y14" s="343"/>
      <c r="Z14" s="343"/>
      <c r="AA14" s="343"/>
      <c r="AB14" s="320"/>
      <c r="AC14" s="134"/>
      <c r="AD14" s="342" t="str">
        <f>①園入力用名簿!C2</f>
        <v>４月分</v>
      </c>
      <c r="AE14" s="343"/>
      <c r="AF14" s="343"/>
      <c r="AG14" s="343"/>
      <c r="AH14" s="338" t="s">
        <v>146</v>
      </c>
      <c r="AI14" s="338"/>
      <c r="AJ14" s="338"/>
      <c r="AK14" s="338"/>
      <c r="AL14" s="338"/>
      <c r="AM14" s="338"/>
      <c r="AN14" s="338"/>
    </row>
    <row r="15" spans="1:60" ht="9.75" customHeight="1">
      <c r="T15" s="338"/>
      <c r="U15" s="338"/>
      <c r="V15" s="343"/>
      <c r="W15" s="343"/>
      <c r="X15" s="343"/>
      <c r="Y15" s="343"/>
      <c r="Z15" s="343"/>
      <c r="AA15" s="343"/>
      <c r="AB15" s="320"/>
      <c r="AC15" s="134"/>
      <c r="AD15" s="343"/>
      <c r="AE15" s="343"/>
      <c r="AF15" s="343"/>
      <c r="AG15" s="343"/>
      <c r="AH15" s="338"/>
      <c r="AI15" s="338"/>
      <c r="AJ15" s="338"/>
      <c r="AK15" s="338"/>
      <c r="AL15" s="338"/>
      <c r="AM15" s="338"/>
      <c r="AN15" s="338"/>
    </row>
    <row r="16" spans="1:60" ht="9.75" customHeight="1"/>
    <row r="17" spans="3:59" ht="9.75" customHeight="1"/>
    <row r="18" spans="3:59" s="1" customFormat="1" ht="9.75" customHeight="1">
      <c r="C18" s="3"/>
      <c r="D18" s="266" t="s">
        <v>7</v>
      </c>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6"/>
      <c r="BB18" s="266"/>
      <c r="BC18" s="266"/>
      <c r="BD18" s="266"/>
      <c r="BE18" s="266"/>
      <c r="BF18" s="266"/>
      <c r="BG18" s="266"/>
    </row>
    <row r="19" spans="3:59" s="1" customFormat="1" ht="9.75" customHeight="1">
      <c r="C19" s="3"/>
      <c r="D19" s="266"/>
      <c r="E19" s="266"/>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6"/>
      <c r="AZ19" s="266"/>
      <c r="BA19" s="266"/>
      <c r="BB19" s="266"/>
      <c r="BC19" s="266"/>
      <c r="BD19" s="266"/>
      <c r="BE19" s="266"/>
      <c r="BF19" s="266"/>
      <c r="BG19" s="266"/>
    </row>
    <row r="20" spans="3:59" s="1" customFormat="1" ht="9.75" customHeight="1">
      <c r="C20" s="266" t="s">
        <v>134</v>
      </c>
      <c r="D20" s="266"/>
      <c r="E20" s="266"/>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c r="BA20" s="266"/>
      <c r="BB20" s="266"/>
      <c r="BC20" s="266"/>
      <c r="BD20" s="266"/>
      <c r="BE20" s="266"/>
      <c r="BF20" s="266"/>
      <c r="BG20" s="266"/>
    </row>
    <row r="21" spans="3:59" s="1" customFormat="1" ht="9.75" customHeight="1">
      <c r="C21" s="266"/>
      <c r="D21" s="266"/>
      <c r="E21" s="266"/>
      <c r="F21" s="266"/>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6"/>
      <c r="BB21" s="266"/>
      <c r="BC21" s="266"/>
      <c r="BD21" s="266"/>
      <c r="BE21" s="266"/>
      <c r="BF21" s="266"/>
      <c r="BG21" s="266"/>
    </row>
    <row r="22" spans="3:59" s="1" customFormat="1" ht="9.75" customHeight="1">
      <c r="C22" s="266" t="s">
        <v>8</v>
      </c>
      <c r="D22" s="266"/>
      <c r="E22" s="266"/>
      <c r="F22" s="266"/>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266"/>
      <c r="BB22" s="266"/>
      <c r="BC22" s="266"/>
      <c r="BD22" s="266"/>
      <c r="BE22" s="266"/>
      <c r="BF22" s="266"/>
      <c r="BG22" s="266"/>
    </row>
    <row r="23" spans="3:59" s="1" customFormat="1" ht="9.75" customHeight="1">
      <c r="C23" s="266"/>
      <c r="D23" s="266"/>
      <c r="E23" s="266"/>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266"/>
      <c r="BB23" s="266"/>
      <c r="BC23" s="266"/>
      <c r="BD23" s="266"/>
      <c r="BE23" s="266"/>
      <c r="BF23" s="266"/>
      <c r="BG23" s="266"/>
    </row>
    <row r="24" spans="3:59" s="1" customFormat="1" ht="9.75" customHeight="1">
      <c r="C24" s="3"/>
      <c r="D24" s="266" t="s">
        <v>9</v>
      </c>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c r="BA24" s="266"/>
      <c r="BB24" s="266"/>
      <c r="BC24" s="266"/>
      <c r="BD24" s="266"/>
      <c r="BE24" s="266"/>
      <c r="BF24" s="266"/>
      <c r="BG24" s="266"/>
    </row>
    <row r="25" spans="3:59" s="1" customFormat="1" ht="9.75" customHeight="1">
      <c r="C25" s="3"/>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6"/>
      <c r="AV25" s="266"/>
      <c r="AW25" s="266"/>
      <c r="AX25" s="266"/>
      <c r="AY25" s="266"/>
      <c r="AZ25" s="266"/>
      <c r="BA25" s="266"/>
      <c r="BB25" s="266"/>
      <c r="BC25" s="266"/>
      <c r="BD25" s="266"/>
      <c r="BE25" s="266"/>
      <c r="BF25" s="266"/>
      <c r="BG25" s="266"/>
    </row>
    <row r="26" spans="3:59" s="1" customFormat="1" ht="9.75" customHeight="1">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3:59" s="1" customFormat="1" ht="9.75" customHeight="1">
      <c r="C27" s="3"/>
      <c r="D27" s="266" t="s">
        <v>10</v>
      </c>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6"/>
      <c r="AV27" s="266"/>
      <c r="AW27" s="266"/>
      <c r="AX27" s="266"/>
      <c r="AY27" s="266"/>
      <c r="AZ27" s="266"/>
      <c r="BA27" s="266"/>
      <c r="BB27" s="266"/>
      <c r="BC27" s="266"/>
      <c r="BD27" s="266"/>
      <c r="BE27" s="266"/>
      <c r="BF27" s="266"/>
      <c r="BG27" s="266"/>
    </row>
    <row r="28" spans="3:59" s="1" customFormat="1" ht="9.75" customHeight="1">
      <c r="C28" s="3"/>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row>
    <row r="29" spans="3:59" s="1" customFormat="1" ht="9.75" customHeight="1">
      <c r="C29" s="3"/>
      <c r="D29" s="266" t="s">
        <v>11</v>
      </c>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66"/>
      <c r="BC29" s="266"/>
      <c r="BD29" s="266"/>
      <c r="BE29" s="266"/>
      <c r="BF29" s="266"/>
      <c r="BG29" s="266"/>
    </row>
    <row r="30" spans="3:59" s="1" customFormat="1" ht="9.75" customHeight="1">
      <c r="C30" s="3"/>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6"/>
      <c r="BG30" s="266"/>
    </row>
    <row r="31" spans="3:59" s="1" customFormat="1" ht="9.75" customHeight="1">
      <c r="C31" s="3"/>
      <c r="D31" s="266" t="s">
        <v>12</v>
      </c>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6"/>
      <c r="BG31" s="266"/>
    </row>
    <row r="32" spans="3:59" s="1" customFormat="1" ht="9.75" customHeight="1">
      <c r="C32" s="3"/>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6"/>
      <c r="BG32" s="266"/>
    </row>
    <row r="33" spans="1:59" s="1" customFormat="1" ht="9.75" customHeight="1"/>
    <row r="34" spans="1:59" s="4" customFormat="1" ht="9.75" customHeight="1">
      <c r="A34" s="267" t="s">
        <v>13</v>
      </c>
      <c r="B34" s="26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7"/>
      <c r="BG34" s="267"/>
    </row>
    <row r="35" spans="1:59" s="1" customFormat="1" ht="9.75" customHeight="1" thickBot="1">
      <c r="A35" s="268"/>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row>
    <row r="36" spans="1:59" s="1" customFormat="1" ht="9.75" customHeight="1">
      <c r="A36" s="238" t="s">
        <v>14</v>
      </c>
      <c r="B36" s="239"/>
      <c r="C36" s="239"/>
      <c r="D36" s="239"/>
      <c r="E36" s="239"/>
      <c r="F36" s="239"/>
      <c r="G36" s="239"/>
      <c r="H36" s="239"/>
      <c r="I36" s="239"/>
      <c r="J36" s="240"/>
      <c r="K36" s="244"/>
      <c r="L36" s="406"/>
      <c r="M36" s="408"/>
      <c r="N36" s="408"/>
      <c r="O36" s="408"/>
      <c r="P36" s="408"/>
      <c r="Q36" s="408"/>
      <c r="R36" s="408"/>
      <c r="S36" s="408"/>
      <c r="T36" s="408"/>
      <c r="U36" s="408"/>
      <c r="V36" s="408"/>
      <c r="W36" s="408"/>
      <c r="X36" s="408"/>
      <c r="Y36" s="408"/>
      <c r="Z36" s="408"/>
      <c r="AA36" s="408"/>
      <c r="AB36" s="408"/>
      <c r="AC36" s="408"/>
      <c r="AD36" s="409"/>
      <c r="AE36" s="235" t="s">
        <v>16</v>
      </c>
      <c r="AF36" s="239"/>
      <c r="AG36" s="239"/>
      <c r="AH36" s="239"/>
      <c r="AI36" s="239"/>
      <c r="AJ36" s="240"/>
      <c r="AK36" s="379"/>
      <c r="AL36" s="381"/>
      <c r="AM36" s="381"/>
      <c r="AN36" s="381"/>
      <c r="AO36" s="381"/>
      <c r="AP36" s="381"/>
      <c r="AQ36" s="381"/>
      <c r="AR36" s="381"/>
      <c r="AS36" s="381"/>
      <c r="AT36" s="381"/>
      <c r="AU36" s="381"/>
      <c r="AV36" s="381"/>
      <c r="AW36" s="381"/>
      <c r="AX36" s="381"/>
      <c r="AY36" s="381"/>
      <c r="AZ36" s="381"/>
      <c r="BA36" s="381"/>
      <c r="BB36" s="381"/>
      <c r="BC36" s="381"/>
      <c r="BD36" s="381"/>
      <c r="BE36" s="381"/>
      <c r="BF36" s="381"/>
      <c r="BG36" s="383"/>
    </row>
    <row r="37" spans="1:59" s="1" customFormat="1" ht="9.75" customHeight="1">
      <c r="A37" s="241"/>
      <c r="B37" s="242"/>
      <c r="C37" s="242"/>
      <c r="D37" s="242"/>
      <c r="E37" s="242"/>
      <c r="F37" s="242"/>
      <c r="G37" s="242"/>
      <c r="H37" s="242"/>
      <c r="I37" s="242"/>
      <c r="J37" s="243"/>
      <c r="K37" s="245"/>
      <c r="L37" s="407"/>
      <c r="M37" s="410"/>
      <c r="N37" s="410"/>
      <c r="O37" s="410"/>
      <c r="P37" s="410"/>
      <c r="Q37" s="410"/>
      <c r="R37" s="410"/>
      <c r="S37" s="410"/>
      <c r="T37" s="410"/>
      <c r="U37" s="410"/>
      <c r="V37" s="410"/>
      <c r="W37" s="410"/>
      <c r="X37" s="410"/>
      <c r="Y37" s="410"/>
      <c r="Z37" s="410"/>
      <c r="AA37" s="410"/>
      <c r="AB37" s="410"/>
      <c r="AC37" s="410"/>
      <c r="AD37" s="411"/>
      <c r="AE37" s="365"/>
      <c r="AF37" s="366"/>
      <c r="AG37" s="366"/>
      <c r="AH37" s="366"/>
      <c r="AI37" s="366"/>
      <c r="AJ37" s="367"/>
      <c r="AK37" s="377"/>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374"/>
    </row>
    <row r="38" spans="1:59" s="1" customFormat="1" ht="9.75" customHeight="1">
      <c r="A38" s="232" t="s">
        <v>15</v>
      </c>
      <c r="B38" s="233"/>
      <c r="C38" s="233"/>
      <c r="D38" s="233"/>
      <c r="E38" s="233"/>
      <c r="F38" s="233"/>
      <c r="G38" s="233"/>
      <c r="H38" s="233"/>
      <c r="I38" s="233"/>
      <c r="J38" s="234"/>
      <c r="K38" s="376"/>
      <c r="L38" s="403"/>
      <c r="M38" s="304"/>
      <c r="N38" s="304"/>
      <c r="O38" s="304"/>
      <c r="P38" s="304"/>
      <c r="Q38" s="304"/>
      <c r="R38" s="304"/>
      <c r="S38" s="304"/>
      <c r="T38" s="304"/>
      <c r="U38" s="304"/>
      <c r="V38" s="304"/>
      <c r="W38" s="304"/>
      <c r="X38" s="304"/>
      <c r="Y38" s="304"/>
      <c r="Z38" s="304"/>
      <c r="AA38" s="304"/>
      <c r="AB38" s="304"/>
      <c r="AC38" s="304"/>
      <c r="AD38" s="305"/>
      <c r="AE38" s="365"/>
      <c r="AF38" s="366"/>
      <c r="AG38" s="366"/>
      <c r="AH38" s="366"/>
      <c r="AI38" s="366"/>
      <c r="AJ38" s="367"/>
      <c r="AK38" s="377"/>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374"/>
    </row>
    <row r="39" spans="1:59" s="1" customFormat="1" ht="9.75" customHeight="1">
      <c r="A39" s="226"/>
      <c r="B39" s="227"/>
      <c r="C39" s="227"/>
      <c r="D39" s="227"/>
      <c r="E39" s="227"/>
      <c r="F39" s="227"/>
      <c r="G39" s="227"/>
      <c r="H39" s="227"/>
      <c r="I39" s="227"/>
      <c r="J39" s="228"/>
      <c r="K39" s="377"/>
      <c r="L39" s="404"/>
      <c r="M39" s="306"/>
      <c r="N39" s="306"/>
      <c r="O39" s="306"/>
      <c r="P39" s="306"/>
      <c r="Q39" s="306"/>
      <c r="R39" s="306"/>
      <c r="S39" s="306"/>
      <c r="T39" s="306"/>
      <c r="U39" s="306"/>
      <c r="V39" s="306"/>
      <c r="W39" s="306"/>
      <c r="X39" s="306"/>
      <c r="Y39" s="306"/>
      <c r="Z39" s="306"/>
      <c r="AA39" s="306"/>
      <c r="AB39" s="306"/>
      <c r="AC39" s="306"/>
      <c r="AD39" s="307"/>
      <c r="AE39" s="241"/>
      <c r="AF39" s="242"/>
      <c r="AG39" s="242"/>
      <c r="AH39" s="242"/>
      <c r="AI39" s="242"/>
      <c r="AJ39" s="243"/>
      <c r="AK39" s="380"/>
      <c r="AL39" s="382"/>
      <c r="AM39" s="382"/>
      <c r="AN39" s="382"/>
      <c r="AO39" s="382"/>
      <c r="AP39" s="382"/>
      <c r="AQ39" s="382"/>
      <c r="AR39" s="382"/>
      <c r="AS39" s="382"/>
      <c r="AT39" s="382"/>
      <c r="AU39" s="382"/>
      <c r="AV39" s="382"/>
      <c r="AW39" s="382"/>
      <c r="AX39" s="382"/>
      <c r="AY39" s="382"/>
      <c r="AZ39" s="382"/>
      <c r="BA39" s="382"/>
      <c r="BB39" s="382"/>
      <c r="BC39" s="382"/>
      <c r="BD39" s="382"/>
      <c r="BE39" s="382"/>
      <c r="BF39" s="382"/>
      <c r="BG39" s="384"/>
    </row>
    <row r="40" spans="1:59" s="1" customFormat="1" ht="9.75" customHeight="1">
      <c r="A40" s="226"/>
      <c r="B40" s="227"/>
      <c r="C40" s="227"/>
      <c r="D40" s="227"/>
      <c r="E40" s="227"/>
      <c r="F40" s="227"/>
      <c r="G40" s="227"/>
      <c r="H40" s="227"/>
      <c r="I40" s="227"/>
      <c r="J40" s="228"/>
      <c r="K40" s="377"/>
      <c r="L40" s="404"/>
      <c r="M40" s="306"/>
      <c r="N40" s="306"/>
      <c r="O40" s="306"/>
      <c r="P40" s="306"/>
      <c r="Q40" s="306"/>
      <c r="R40" s="306"/>
      <c r="S40" s="306"/>
      <c r="T40" s="306"/>
      <c r="U40" s="306"/>
      <c r="V40" s="306"/>
      <c r="W40" s="306"/>
      <c r="X40" s="306"/>
      <c r="Y40" s="306"/>
      <c r="Z40" s="306"/>
      <c r="AA40" s="306"/>
      <c r="AB40" s="306"/>
      <c r="AC40" s="306"/>
      <c r="AD40" s="307"/>
      <c r="AE40" s="232" t="s">
        <v>17</v>
      </c>
      <c r="AF40" s="363"/>
      <c r="AG40" s="363"/>
      <c r="AH40" s="363"/>
      <c r="AI40" s="363"/>
      <c r="AJ40" s="364"/>
      <c r="AK40" s="376"/>
      <c r="AL40" s="371"/>
      <c r="AM40" s="371"/>
      <c r="AN40" s="371"/>
      <c r="AO40" s="371"/>
      <c r="AP40" s="371"/>
      <c r="AQ40" s="371"/>
      <c r="AR40" s="371"/>
      <c r="AS40" s="371"/>
      <c r="AT40" s="371"/>
      <c r="AU40" s="371"/>
      <c r="AV40" s="371"/>
      <c r="AW40" s="371"/>
      <c r="AX40" s="371"/>
      <c r="AY40" s="371"/>
      <c r="AZ40" s="371"/>
      <c r="BA40" s="371"/>
      <c r="BB40" s="371"/>
      <c r="BC40" s="371"/>
      <c r="BD40" s="371"/>
      <c r="BE40" s="371"/>
      <c r="BF40" s="371"/>
      <c r="BG40" s="373"/>
    </row>
    <row r="41" spans="1:59" ht="9.75" customHeight="1">
      <c r="A41" s="226"/>
      <c r="B41" s="227"/>
      <c r="C41" s="227"/>
      <c r="D41" s="227"/>
      <c r="E41" s="227"/>
      <c r="F41" s="227"/>
      <c r="G41" s="227"/>
      <c r="H41" s="227"/>
      <c r="I41" s="227"/>
      <c r="J41" s="228"/>
      <c r="K41" s="377"/>
      <c r="L41" s="404"/>
      <c r="M41" s="306"/>
      <c r="N41" s="306"/>
      <c r="O41" s="306"/>
      <c r="P41" s="306"/>
      <c r="Q41" s="306"/>
      <c r="R41" s="306"/>
      <c r="S41" s="306"/>
      <c r="T41" s="306"/>
      <c r="U41" s="306"/>
      <c r="V41" s="306"/>
      <c r="W41" s="306"/>
      <c r="X41" s="306"/>
      <c r="Y41" s="306"/>
      <c r="Z41" s="306"/>
      <c r="AA41" s="306"/>
      <c r="AB41" s="306"/>
      <c r="AC41" s="306"/>
      <c r="AD41" s="307"/>
      <c r="AE41" s="365"/>
      <c r="AF41" s="366"/>
      <c r="AG41" s="366"/>
      <c r="AH41" s="366"/>
      <c r="AI41" s="366"/>
      <c r="AJ41" s="367"/>
      <c r="AK41" s="377"/>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374"/>
    </row>
    <row r="42" spans="1:59" ht="9.75" customHeight="1">
      <c r="A42" s="226"/>
      <c r="B42" s="227"/>
      <c r="C42" s="227"/>
      <c r="D42" s="227"/>
      <c r="E42" s="227"/>
      <c r="F42" s="227"/>
      <c r="G42" s="227"/>
      <c r="H42" s="227"/>
      <c r="I42" s="227"/>
      <c r="J42" s="228"/>
      <c r="K42" s="377"/>
      <c r="L42" s="404"/>
      <c r="M42" s="306"/>
      <c r="N42" s="306"/>
      <c r="O42" s="306"/>
      <c r="P42" s="306"/>
      <c r="Q42" s="306"/>
      <c r="R42" s="306"/>
      <c r="S42" s="306"/>
      <c r="T42" s="306"/>
      <c r="U42" s="306"/>
      <c r="V42" s="306"/>
      <c r="W42" s="306"/>
      <c r="X42" s="306"/>
      <c r="Y42" s="306"/>
      <c r="Z42" s="306"/>
      <c r="AA42" s="306"/>
      <c r="AB42" s="306"/>
      <c r="AC42" s="306"/>
      <c r="AD42" s="307"/>
      <c r="AE42" s="365"/>
      <c r="AF42" s="366"/>
      <c r="AG42" s="366"/>
      <c r="AH42" s="366"/>
      <c r="AI42" s="366"/>
      <c r="AJ42" s="367"/>
      <c r="AK42" s="377"/>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374"/>
    </row>
    <row r="43" spans="1:59" ht="9.75" customHeight="1" thickBot="1">
      <c r="A43" s="229"/>
      <c r="B43" s="230"/>
      <c r="C43" s="230"/>
      <c r="D43" s="230"/>
      <c r="E43" s="230"/>
      <c r="F43" s="230"/>
      <c r="G43" s="230"/>
      <c r="H43" s="230"/>
      <c r="I43" s="230"/>
      <c r="J43" s="231"/>
      <c r="K43" s="378"/>
      <c r="L43" s="405"/>
      <c r="M43" s="308"/>
      <c r="N43" s="308"/>
      <c r="O43" s="308"/>
      <c r="P43" s="308"/>
      <c r="Q43" s="308"/>
      <c r="R43" s="308"/>
      <c r="S43" s="308"/>
      <c r="T43" s="308"/>
      <c r="U43" s="308"/>
      <c r="V43" s="308"/>
      <c r="W43" s="308"/>
      <c r="X43" s="308"/>
      <c r="Y43" s="308"/>
      <c r="Z43" s="308"/>
      <c r="AA43" s="308"/>
      <c r="AB43" s="308"/>
      <c r="AC43" s="308"/>
      <c r="AD43" s="309"/>
      <c r="AE43" s="368"/>
      <c r="AF43" s="369"/>
      <c r="AG43" s="369"/>
      <c r="AH43" s="369"/>
      <c r="AI43" s="369"/>
      <c r="AJ43" s="370"/>
      <c r="AK43" s="378"/>
      <c r="AL43" s="372"/>
      <c r="AM43" s="372"/>
      <c r="AN43" s="372"/>
      <c r="AO43" s="372"/>
      <c r="AP43" s="372"/>
      <c r="AQ43" s="372"/>
      <c r="AR43" s="372"/>
      <c r="AS43" s="372"/>
      <c r="AT43" s="372"/>
      <c r="AU43" s="372"/>
      <c r="AV43" s="372"/>
      <c r="AW43" s="372"/>
      <c r="AX43" s="372"/>
      <c r="AY43" s="372"/>
      <c r="AZ43" s="372"/>
      <c r="BA43" s="372"/>
      <c r="BB43" s="372"/>
      <c r="BC43" s="372"/>
      <c r="BD43" s="372"/>
      <c r="BE43" s="372"/>
      <c r="BF43" s="372"/>
      <c r="BG43" s="375"/>
    </row>
    <row r="44" spans="1:59" ht="9.75" customHeight="1"/>
    <row r="45" spans="1:59" s="4" customFormat="1" ht="9.75" customHeight="1">
      <c r="A45" s="267" t="s">
        <v>18</v>
      </c>
      <c r="B45" s="267"/>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row>
    <row r="46" spans="1:59" s="1" customFormat="1" ht="9.75" customHeight="1" thickBot="1">
      <c r="A46" s="268"/>
      <c r="B46" s="268"/>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8"/>
      <c r="AQ46" s="268"/>
      <c r="AR46" s="268"/>
      <c r="AS46" s="268"/>
      <c r="AT46" s="268"/>
      <c r="AU46" s="268"/>
      <c r="AV46" s="268"/>
      <c r="AW46" s="268"/>
      <c r="AX46" s="268"/>
      <c r="AY46" s="268"/>
      <c r="AZ46" s="268"/>
      <c r="BA46" s="268"/>
      <c r="BB46" s="268"/>
      <c r="BC46" s="268"/>
      <c r="BD46" s="268"/>
      <c r="BE46" s="268"/>
      <c r="BF46" s="268"/>
      <c r="BG46" s="268"/>
    </row>
    <row r="47" spans="1:59" s="1" customFormat="1" ht="9.75" customHeight="1">
      <c r="A47" s="238" t="s">
        <v>14</v>
      </c>
      <c r="B47" s="239"/>
      <c r="C47" s="239"/>
      <c r="D47" s="239"/>
      <c r="E47" s="239"/>
      <c r="F47" s="239"/>
      <c r="G47" s="239"/>
      <c r="H47" s="239"/>
      <c r="I47" s="239"/>
      <c r="J47" s="240"/>
      <c r="K47" s="244"/>
      <c r="L47" s="408"/>
      <c r="M47" s="408"/>
      <c r="N47" s="408"/>
      <c r="O47" s="408"/>
      <c r="P47" s="408"/>
      <c r="Q47" s="408"/>
      <c r="R47" s="408"/>
      <c r="S47" s="408"/>
      <c r="T47" s="408"/>
      <c r="U47" s="408"/>
      <c r="V47" s="408"/>
      <c r="W47" s="408"/>
      <c r="X47" s="408"/>
      <c r="Y47" s="408"/>
      <c r="Z47" s="408"/>
      <c r="AA47" s="408"/>
      <c r="AB47" s="408"/>
      <c r="AC47" s="408"/>
      <c r="AD47" s="418"/>
      <c r="AE47" s="235" t="s">
        <v>20</v>
      </c>
      <c r="AF47" s="236"/>
      <c r="AG47" s="236"/>
      <c r="AH47" s="236"/>
      <c r="AI47" s="236"/>
      <c r="AJ47" s="237"/>
      <c r="AK47" s="246" t="s">
        <v>33</v>
      </c>
      <c r="AL47" s="247"/>
      <c r="AM47" s="250"/>
      <c r="AN47" s="250"/>
      <c r="AO47" s="250"/>
      <c r="AP47" s="250"/>
      <c r="AQ47" s="250"/>
      <c r="AR47" s="250"/>
      <c r="AS47" s="250"/>
      <c r="AT47" s="250"/>
      <c r="AU47" s="250"/>
      <c r="AV47" s="250"/>
      <c r="AW47" s="250"/>
      <c r="AX47" s="250"/>
      <c r="AY47" s="250"/>
      <c r="AZ47" s="250"/>
      <c r="BA47" s="250"/>
      <c r="BB47" s="250"/>
      <c r="BC47" s="250"/>
      <c r="BD47" s="250"/>
      <c r="BE47" s="250"/>
      <c r="BF47" s="250"/>
      <c r="BG47" s="251"/>
    </row>
    <row r="48" spans="1:59" s="1" customFormat="1" ht="9.75" customHeight="1">
      <c r="A48" s="241"/>
      <c r="B48" s="242"/>
      <c r="C48" s="242"/>
      <c r="D48" s="242"/>
      <c r="E48" s="242"/>
      <c r="F48" s="242"/>
      <c r="G48" s="242"/>
      <c r="H48" s="242"/>
      <c r="I48" s="242"/>
      <c r="J48" s="243"/>
      <c r="K48" s="245"/>
      <c r="L48" s="410"/>
      <c r="M48" s="410"/>
      <c r="N48" s="410"/>
      <c r="O48" s="410"/>
      <c r="P48" s="410"/>
      <c r="Q48" s="410"/>
      <c r="R48" s="410"/>
      <c r="S48" s="410"/>
      <c r="T48" s="410"/>
      <c r="U48" s="410"/>
      <c r="V48" s="410"/>
      <c r="W48" s="410"/>
      <c r="X48" s="410"/>
      <c r="Y48" s="410"/>
      <c r="Z48" s="410"/>
      <c r="AA48" s="410"/>
      <c r="AB48" s="410"/>
      <c r="AC48" s="410"/>
      <c r="AD48" s="419"/>
      <c r="AE48" s="226"/>
      <c r="AF48" s="227"/>
      <c r="AG48" s="227"/>
      <c r="AH48" s="227"/>
      <c r="AI48" s="227"/>
      <c r="AJ48" s="228"/>
      <c r="AK48" s="248"/>
      <c r="AL48" s="249"/>
      <c r="AM48" s="252"/>
      <c r="AN48" s="252"/>
      <c r="AO48" s="252"/>
      <c r="AP48" s="252"/>
      <c r="AQ48" s="252"/>
      <c r="AR48" s="252"/>
      <c r="AS48" s="252"/>
      <c r="AT48" s="252"/>
      <c r="AU48" s="252"/>
      <c r="AV48" s="252"/>
      <c r="AW48" s="252"/>
      <c r="AX48" s="252"/>
      <c r="AY48" s="252"/>
      <c r="AZ48" s="252"/>
      <c r="BA48" s="252"/>
      <c r="BB48" s="252"/>
      <c r="BC48" s="252"/>
      <c r="BD48" s="252"/>
      <c r="BE48" s="252"/>
      <c r="BF48" s="252"/>
      <c r="BG48" s="253"/>
    </row>
    <row r="49" spans="1:59" s="1" customFormat="1" ht="9.75" customHeight="1">
      <c r="A49" s="232" t="s">
        <v>19</v>
      </c>
      <c r="B49" s="233"/>
      <c r="C49" s="233"/>
      <c r="D49" s="233"/>
      <c r="E49" s="233"/>
      <c r="F49" s="233"/>
      <c r="G49" s="233"/>
      <c r="H49" s="233"/>
      <c r="I49" s="233"/>
      <c r="J49" s="234"/>
      <c r="K49" s="420"/>
      <c r="L49" s="412"/>
      <c r="M49" s="412"/>
      <c r="N49" s="412"/>
      <c r="O49" s="412"/>
      <c r="P49" s="412"/>
      <c r="Q49" s="412"/>
      <c r="R49" s="412"/>
      <c r="S49" s="412"/>
      <c r="T49" s="412"/>
      <c r="U49" s="412"/>
      <c r="V49" s="412"/>
      <c r="W49" s="412"/>
      <c r="X49" s="412"/>
      <c r="Y49" s="412"/>
      <c r="Z49" s="412"/>
      <c r="AA49" s="412"/>
      <c r="AB49" s="412"/>
      <c r="AC49" s="412"/>
      <c r="AD49" s="415"/>
      <c r="AE49" s="226" t="s">
        <v>21</v>
      </c>
      <c r="AF49" s="227"/>
      <c r="AG49" s="227"/>
      <c r="AH49" s="227"/>
      <c r="AI49" s="227"/>
      <c r="AJ49" s="228"/>
      <c r="AK49" s="254"/>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6"/>
    </row>
    <row r="50" spans="1:59" s="1" customFormat="1" ht="9.75" customHeight="1">
      <c r="A50" s="226"/>
      <c r="B50" s="227"/>
      <c r="C50" s="227"/>
      <c r="D50" s="227"/>
      <c r="E50" s="227"/>
      <c r="F50" s="227"/>
      <c r="G50" s="227"/>
      <c r="H50" s="227"/>
      <c r="I50" s="227"/>
      <c r="J50" s="228"/>
      <c r="K50" s="421"/>
      <c r="L50" s="413"/>
      <c r="M50" s="413"/>
      <c r="N50" s="413"/>
      <c r="O50" s="413"/>
      <c r="P50" s="413"/>
      <c r="Q50" s="413"/>
      <c r="R50" s="413"/>
      <c r="S50" s="413"/>
      <c r="T50" s="413"/>
      <c r="U50" s="413"/>
      <c r="V50" s="413"/>
      <c r="W50" s="413"/>
      <c r="X50" s="413"/>
      <c r="Y50" s="413"/>
      <c r="Z50" s="413"/>
      <c r="AA50" s="413"/>
      <c r="AB50" s="413"/>
      <c r="AC50" s="413"/>
      <c r="AD50" s="416"/>
      <c r="AE50" s="226"/>
      <c r="AF50" s="227"/>
      <c r="AG50" s="227"/>
      <c r="AH50" s="227"/>
      <c r="AI50" s="227"/>
      <c r="AJ50" s="228"/>
      <c r="AK50" s="254"/>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6"/>
    </row>
    <row r="51" spans="1:59" s="1" customFormat="1" ht="9.75" customHeight="1">
      <c r="A51" s="226"/>
      <c r="B51" s="227"/>
      <c r="C51" s="227"/>
      <c r="D51" s="227"/>
      <c r="E51" s="227"/>
      <c r="F51" s="227"/>
      <c r="G51" s="227"/>
      <c r="H51" s="227"/>
      <c r="I51" s="227"/>
      <c r="J51" s="228"/>
      <c r="K51" s="421"/>
      <c r="L51" s="413"/>
      <c r="M51" s="413"/>
      <c r="N51" s="413"/>
      <c r="O51" s="413"/>
      <c r="P51" s="413"/>
      <c r="Q51" s="413"/>
      <c r="R51" s="413"/>
      <c r="S51" s="413"/>
      <c r="T51" s="413"/>
      <c r="U51" s="413"/>
      <c r="V51" s="413"/>
      <c r="W51" s="413"/>
      <c r="X51" s="413"/>
      <c r="Y51" s="413"/>
      <c r="Z51" s="413"/>
      <c r="AA51" s="413"/>
      <c r="AB51" s="413"/>
      <c r="AC51" s="413"/>
      <c r="AD51" s="416"/>
      <c r="AE51" s="226"/>
      <c r="AF51" s="227"/>
      <c r="AG51" s="227"/>
      <c r="AH51" s="227"/>
      <c r="AI51" s="227"/>
      <c r="AJ51" s="228"/>
      <c r="AK51" s="254"/>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6"/>
    </row>
    <row r="52" spans="1:59" ht="9.75" customHeight="1">
      <c r="A52" s="226"/>
      <c r="B52" s="227"/>
      <c r="C52" s="227"/>
      <c r="D52" s="227"/>
      <c r="E52" s="227"/>
      <c r="F52" s="227"/>
      <c r="G52" s="227"/>
      <c r="H52" s="227"/>
      <c r="I52" s="227"/>
      <c r="J52" s="228"/>
      <c r="K52" s="421"/>
      <c r="L52" s="413"/>
      <c r="M52" s="413"/>
      <c r="N52" s="413"/>
      <c r="O52" s="413"/>
      <c r="P52" s="413"/>
      <c r="Q52" s="413"/>
      <c r="R52" s="413"/>
      <c r="S52" s="413"/>
      <c r="T52" s="413"/>
      <c r="U52" s="413"/>
      <c r="V52" s="413"/>
      <c r="W52" s="413"/>
      <c r="X52" s="413"/>
      <c r="Y52" s="413"/>
      <c r="Z52" s="413"/>
      <c r="AA52" s="413"/>
      <c r="AB52" s="413"/>
      <c r="AC52" s="413"/>
      <c r="AD52" s="416"/>
      <c r="AE52" s="226"/>
      <c r="AF52" s="227"/>
      <c r="AG52" s="227"/>
      <c r="AH52" s="227"/>
      <c r="AI52" s="227"/>
      <c r="AJ52" s="228"/>
      <c r="AK52" s="254"/>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6"/>
    </row>
    <row r="53" spans="1:59" ht="9.75" customHeight="1">
      <c r="A53" s="226"/>
      <c r="B53" s="227"/>
      <c r="C53" s="227"/>
      <c r="D53" s="227"/>
      <c r="E53" s="227"/>
      <c r="F53" s="227"/>
      <c r="G53" s="227"/>
      <c r="H53" s="227"/>
      <c r="I53" s="227"/>
      <c r="J53" s="228"/>
      <c r="K53" s="421"/>
      <c r="L53" s="413"/>
      <c r="M53" s="413"/>
      <c r="N53" s="413"/>
      <c r="O53" s="413"/>
      <c r="P53" s="413"/>
      <c r="Q53" s="413"/>
      <c r="R53" s="413"/>
      <c r="S53" s="413"/>
      <c r="T53" s="413"/>
      <c r="U53" s="413"/>
      <c r="V53" s="413"/>
      <c r="W53" s="413"/>
      <c r="X53" s="413"/>
      <c r="Y53" s="413"/>
      <c r="Z53" s="413"/>
      <c r="AA53" s="413"/>
      <c r="AB53" s="413"/>
      <c r="AC53" s="413"/>
      <c r="AD53" s="416"/>
      <c r="AE53" s="226"/>
      <c r="AF53" s="227"/>
      <c r="AG53" s="227"/>
      <c r="AH53" s="227"/>
      <c r="AI53" s="227"/>
      <c r="AJ53" s="228"/>
      <c r="AK53" s="257" t="s">
        <v>34</v>
      </c>
      <c r="AL53" s="258"/>
      <c r="AM53" s="258"/>
      <c r="AN53" s="252"/>
      <c r="AO53" s="252"/>
      <c r="AP53" s="252"/>
      <c r="AQ53" s="252"/>
      <c r="AR53" s="252"/>
      <c r="AS53" s="252"/>
      <c r="AT53" s="252"/>
      <c r="AU53" s="252"/>
      <c r="AV53" s="252"/>
      <c r="AW53" s="252"/>
      <c r="AX53" s="252"/>
      <c r="AY53" s="252"/>
      <c r="AZ53" s="252"/>
      <c r="BA53" s="252"/>
      <c r="BB53" s="252"/>
      <c r="BC53" s="252"/>
      <c r="BD53" s="252"/>
      <c r="BE53" s="252"/>
      <c r="BF53" s="252"/>
      <c r="BG53" s="253"/>
    </row>
    <row r="54" spans="1:59" ht="9.75" customHeight="1" thickBot="1">
      <c r="A54" s="229"/>
      <c r="B54" s="230"/>
      <c r="C54" s="230"/>
      <c r="D54" s="230"/>
      <c r="E54" s="230"/>
      <c r="F54" s="230"/>
      <c r="G54" s="230"/>
      <c r="H54" s="230"/>
      <c r="I54" s="230"/>
      <c r="J54" s="231"/>
      <c r="K54" s="422"/>
      <c r="L54" s="414"/>
      <c r="M54" s="414"/>
      <c r="N54" s="414"/>
      <c r="O54" s="414"/>
      <c r="P54" s="414"/>
      <c r="Q54" s="414"/>
      <c r="R54" s="414"/>
      <c r="S54" s="414"/>
      <c r="T54" s="414"/>
      <c r="U54" s="414"/>
      <c r="V54" s="414"/>
      <c r="W54" s="414"/>
      <c r="X54" s="414"/>
      <c r="Y54" s="414"/>
      <c r="Z54" s="414"/>
      <c r="AA54" s="414"/>
      <c r="AB54" s="414"/>
      <c r="AC54" s="414"/>
      <c r="AD54" s="417"/>
      <c r="AE54" s="229"/>
      <c r="AF54" s="230"/>
      <c r="AG54" s="230"/>
      <c r="AH54" s="230"/>
      <c r="AI54" s="230"/>
      <c r="AJ54" s="231"/>
      <c r="AK54" s="259"/>
      <c r="AL54" s="260"/>
      <c r="AM54" s="260"/>
      <c r="AN54" s="261"/>
      <c r="AO54" s="261"/>
      <c r="AP54" s="261"/>
      <c r="AQ54" s="261"/>
      <c r="AR54" s="261"/>
      <c r="AS54" s="261"/>
      <c r="AT54" s="261"/>
      <c r="AU54" s="261"/>
      <c r="AV54" s="261"/>
      <c r="AW54" s="261"/>
      <c r="AX54" s="261"/>
      <c r="AY54" s="261"/>
      <c r="AZ54" s="261"/>
      <c r="BA54" s="261"/>
      <c r="BB54" s="261"/>
      <c r="BC54" s="261"/>
      <c r="BD54" s="261"/>
      <c r="BE54" s="261"/>
      <c r="BF54" s="261"/>
      <c r="BG54" s="262"/>
    </row>
    <row r="55" spans="1:59" s="1" customFormat="1" ht="9.75" customHeight="1">
      <c r="A55" s="238" t="s">
        <v>14</v>
      </c>
      <c r="B55" s="239"/>
      <c r="C55" s="239"/>
      <c r="D55" s="239"/>
      <c r="E55" s="239"/>
      <c r="F55" s="239"/>
      <c r="G55" s="239"/>
      <c r="H55" s="239"/>
      <c r="I55" s="239"/>
      <c r="J55" s="240"/>
      <c r="K55" s="244"/>
      <c r="L55" s="408"/>
      <c r="M55" s="408"/>
      <c r="N55" s="408"/>
      <c r="O55" s="408"/>
      <c r="P55" s="408"/>
      <c r="Q55" s="408"/>
      <c r="R55" s="408"/>
      <c r="S55" s="408"/>
      <c r="T55" s="408"/>
      <c r="U55" s="408"/>
      <c r="V55" s="408"/>
      <c r="W55" s="408"/>
      <c r="X55" s="408"/>
      <c r="Y55" s="408"/>
      <c r="Z55" s="408"/>
      <c r="AA55" s="408"/>
      <c r="AB55" s="408"/>
      <c r="AC55" s="408"/>
      <c r="AD55" s="418"/>
      <c r="AE55" s="235" t="s">
        <v>20</v>
      </c>
      <c r="AF55" s="236"/>
      <c r="AG55" s="236"/>
      <c r="AH55" s="236"/>
      <c r="AI55" s="236"/>
      <c r="AJ55" s="237"/>
      <c r="AK55" s="246" t="s">
        <v>33</v>
      </c>
      <c r="AL55" s="247"/>
      <c r="AM55" s="250"/>
      <c r="AN55" s="250"/>
      <c r="AO55" s="250"/>
      <c r="AP55" s="250"/>
      <c r="AQ55" s="250"/>
      <c r="AR55" s="250"/>
      <c r="AS55" s="250"/>
      <c r="AT55" s="250"/>
      <c r="AU55" s="250"/>
      <c r="AV55" s="250"/>
      <c r="AW55" s="250"/>
      <c r="AX55" s="250"/>
      <c r="AY55" s="250"/>
      <c r="AZ55" s="250"/>
      <c r="BA55" s="250"/>
      <c r="BB55" s="250"/>
      <c r="BC55" s="250"/>
      <c r="BD55" s="250"/>
      <c r="BE55" s="250"/>
      <c r="BF55" s="250"/>
      <c r="BG55" s="251"/>
    </row>
    <row r="56" spans="1:59" s="1" customFormat="1" ht="9.75" customHeight="1">
      <c r="A56" s="241"/>
      <c r="B56" s="242"/>
      <c r="C56" s="242"/>
      <c r="D56" s="242"/>
      <c r="E56" s="242"/>
      <c r="F56" s="242"/>
      <c r="G56" s="242"/>
      <c r="H56" s="242"/>
      <c r="I56" s="242"/>
      <c r="J56" s="243"/>
      <c r="K56" s="245"/>
      <c r="L56" s="410"/>
      <c r="M56" s="410"/>
      <c r="N56" s="410"/>
      <c r="O56" s="410"/>
      <c r="P56" s="410"/>
      <c r="Q56" s="410"/>
      <c r="R56" s="410"/>
      <c r="S56" s="410"/>
      <c r="T56" s="410"/>
      <c r="U56" s="410"/>
      <c r="V56" s="410"/>
      <c r="W56" s="410"/>
      <c r="X56" s="410"/>
      <c r="Y56" s="410"/>
      <c r="Z56" s="410"/>
      <c r="AA56" s="410"/>
      <c r="AB56" s="410"/>
      <c r="AC56" s="410"/>
      <c r="AD56" s="419"/>
      <c r="AE56" s="226"/>
      <c r="AF56" s="227"/>
      <c r="AG56" s="227"/>
      <c r="AH56" s="227"/>
      <c r="AI56" s="227"/>
      <c r="AJ56" s="228"/>
      <c r="AK56" s="248"/>
      <c r="AL56" s="249"/>
      <c r="AM56" s="252"/>
      <c r="AN56" s="252"/>
      <c r="AO56" s="252"/>
      <c r="AP56" s="252"/>
      <c r="AQ56" s="252"/>
      <c r="AR56" s="252"/>
      <c r="AS56" s="252"/>
      <c r="AT56" s="252"/>
      <c r="AU56" s="252"/>
      <c r="AV56" s="252"/>
      <c r="AW56" s="252"/>
      <c r="AX56" s="252"/>
      <c r="AY56" s="252"/>
      <c r="AZ56" s="252"/>
      <c r="BA56" s="252"/>
      <c r="BB56" s="252"/>
      <c r="BC56" s="252"/>
      <c r="BD56" s="252"/>
      <c r="BE56" s="252"/>
      <c r="BF56" s="252"/>
      <c r="BG56" s="253"/>
    </row>
    <row r="57" spans="1:59" s="1" customFormat="1" ht="9.75" customHeight="1">
      <c r="A57" s="232" t="s">
        <v>22</v>
      </c>
      <c r="B57" s="233"/>
      <c r="C57" s="233"/>
      <c r="D57" s="233"/>
      <c r="E57" s="233"/>
      <c r="F57" s="233"/>
      <c r="G57" s="233"/>
      <c r="H57" s="233"/>
      <c r="I57" s="233"/>
      <c r="J57" s="234"/>
      <c r="K57" s="420"/>
      <c r="L57" s="412"/>
      <c r="M57" s="412"/>
      <c r="N57" s="412"/>
      <c r="O57" s="412"/>
      <c r="P57" s="412"/>
      <c r="Q57" s="412"/>
      <c r="R57" s="412"/>
      <c r="S57" s="412"/>
      <c r="T57" s="412"/>
      <c r="U57" s="412"/>
      <c r="V57" s="412"/>
      <c r="W57" s="412"/>
      <c r="X57" s="412"/>
      <c r="Y57" s="412"/>
      <c r="Z57" s="412"/>
      <c r="AA57" s="412"/>
      <c r="AB57" s="412"/>
      <c r="AC57" s="412"/>
      <c r="AD57" s="415"/>
      <c r="AE57" s="226" t="s">
        <v>21</v>
      </c>
      <c r="AF57" s="227"/>
      <c r="AG57" s="227"/>
      <c r="AH57" s="227"/>
      <c r="AI57" s="227"/>
      <c r="AJ57" s="228"/>
      <c r="AK57" s="263"/>
      <c r="AL57" s="264"/>
      <c r="AM57" s="264"/>
      <c r="AN57" s="264"/>
      <c r="AO57" s="264"/>
      <c r="AP57" s="264"/>
      <c r="AQ57" s="264"/>
      <c r="AR57" s="264"/>
      <c r="AS57" s="264"/>
      <c r="AT57" s="264"/>
      <c r="AU57" s="264"/>
      <c r="AV57" s="264"/>
      <c r="AW57" s="264"/>
      <c r="AX57" s="264"/>
      <c r="AY57" s="264"/>
      <c r="AZ57" s="264"/>
      <c r="BA57" s="264"/>
      <c r="BB57" s="264"/>
      <c r="BC57" s="264"/>
      <c r="BD57" s="264"/>
      <c r="BE57" s="264"/>
      <c r="BF57" s="264"/>
      <c r="BG57" s="265"/>
    </row>
    <row r="58" spans="1:59" s="1" customFormat="1" ht="9.75" customHeight="1">
      <c r="A58" s="226"/>
      <c r="B58" s="227"/>
      <c r="C58" s="227"/>
      <c r="D58" s="227"/>
      <c r="E58" s="227"/>
      <c r="F58" s="227"/>
      <c r="G58" s="227"/>
      <c r="H58" s="227"/>
      <c r="I58" s="227"/>
      <c r="J58" s="228"/>
      <c r="K58" s="421"/>
      <c r="L58" s="413"/>
      <c r="M58" s="413"/>
      <c r="N58" s="413"/>
      <c r="O58" s="413"/>
      <c r="P58" s="413"/>
      <c r="Q58" s="413"/>
      <c r="R58" s="413"/>
      <c r="S58" s="413"/>
      <c r="T58" s="413"/>
      <c r="U58" s="413"/>
      <c r="V58" s="413"/>
      <c r="W58" s="413"/>
      <c r="X58" s="413"/>
      <c r="Y58" s="413"/>
      <c r="Z58" s="413"/>
      <c r="AA58" s="413"/>
      <c r="AB58" s="413"/>
      <c r="AC58" s="413"/>
      <c r="AD58" s="416"/>
      <c r="AE58" s="226"/>
      <c r="AF58" s="227"/>
      <c r="AG58" s="227"/>
      <c r="AH58" s="227"/>
      <c r="AI58" s="227"/>
      <c r="AJ58" s="228"/>
      <c r="AK58" s="263"/>
      <c r="AL58" s="264"/>
      <c r="AM58" s="264"/>
      <c r="AN58" s="264"/>
      <c r="AO58" s="264"/>
      <c r="AP58" s="264"/>
      <c r="AQ58" s="264"/>
      <c r="AR58" s="264"/>
      <c r="AS58" s="264"/>
      <c r="AT58" s="264"/>
      <c r="AU58" s="264"/>
      <c r="AV58" s="264"/>
      <c r="AW58" s="264"/>
      <c r="AX58" s="264"/>
      <c r="AY58" s="264"/>
      <c r="AZ58" s="264"/>
      <c r="BA58" s="264"/>
      <c r="BB58" s="264"/>
      <c r="BC58" s="264"/>
      <c r="BD58" s="264"/>
      <c r="BE58" s="264"/>
      <c r="BF58" s="264"/>
      <c r="BG58" s="265"/>
    </row>
    <row r="59" spans="1:59" s="1" customFormat="1" ht="9.75" customHeight="1">
      <c r="A59" s="226"/>
      <c r="B59" s="227"/>
      <c r="C59" s="227"/>
      <c r="D59" s="227"/>
      <c r="E59" s="227"/>
      <c r="F59" s="227"/>
      <c r="G59" s="227"/>
      <c r="H59" s="227"/>
      <c r="I59" s="227"/>
      <c r="J59" s="228"/>
      <c r="K59" s="421"/>
      <c r="L59" s="413"/>
      <c r="M59" s="413"/>
      <c r="N59" s="413"/>
      <c r="O59" s="413"/>
      <c r="P59" s="413"/>
      <c r="Q59" s="413"/>
      <c r="R59" s="413"/>
      <c r="S59" s="413"/>
      <c r="T59" s="413"/>
      <c r="U59" s="413"/>
      <c r="V59" s="413"/>
      <c r="W59" s="413"/>
      <c r="X59" s="413"/>
      <c r="Y59" s="413"/>
      <c r="Z59" s="413"/>
      <c r="AA59" s="413"/>
      <c r="AB59" s="413"/>
      <c r="AC59" s="413"/>
      <c r="AD59" s="416"/>
      <c r="AE59" s="226"/>
      <c r="AF59" s="227"/>
      <c r="AG59" s="227"/>
      <c r="AH59" s="227"/>
      <c r="AI59" s="227"/>
      <c r="AJ59" s="228"/>
      <c r="AK59" s="263"/>
      <c r="AL59" s="264"/>
      <c r="AM59" s="264"/>
      <c r="AN59" s="264"/>
      <c r="AO59" s="264"/>
      <c r="AP59" s="264"/>
      <c r="AQ59" s="264"/>
      <c r="AR59" s="264"/>
      <c r="AS59" s="264"/>
      <c r="AT59" s="264"/>
      <c r="AU59" s="264"/>
      <c r="AV59" s="264"/>
      <c r="AW59" s="264"/>
      <c r="AX59" s="264"/>
      <c r="AY59" s="264"/>
      <c r="AZ59" s="264"/>
      <c r="BA59" s="264"/>
      <c r="BB59" s="264"/>
      <c r="BC59" s="264"/>
      <c r="BD59" s="264"/>
      <c r="BE59" s="264"/>
      <c r="BF59" s="264"/>
      <c r="BG59" s="265"/>
    </row>
    <row r="60" spans="1:59" ht="9.75" customHeight="1">
      <c r="A60" s="226"/>
      <c r="B60" s="227"/>
      <c r="C60" s="227"/>
      <c r="D60" s="227"/>
      <c r="E60" s="227"/>
      <c r="F60" s="227"/>
      <c r="G60" s="227"/>
      <c r="H60" s="227"/>
      <c r="I60" s="227"/>
      <c r="J60" s="228"/>
      <c r="K60" s="421"/>
      <c r="L60" s="413"/>
      <c r="M60" s="413"/>
      <c r="N60" s="413"/>
      <c r="O60" s="413"/>
      <c r="P60" s="413"/>
      <c r="Q60" s="413"/>
      <c r="R60" s="413"/>
      <c r="S60" s="413"/>
      <c r="T60" s="413"/>
      <c r="U60" s="413"/>
      <c r="V60" s="413"/>
      <c r="W60" s="413"/>
      <c r="X60" s="413"/>
      <c r="Y60" s="413"/>
      <c r="Z60" s="413"/>
      <c r="AA60" s="413"/>
      <c r="AB60" s="413"/>
      <c r="AC60" s="413"/>
      <c r="AD60" s="416"/>
      <c r="AE60" s="226"/>
      <c r="AF60" s="227"/>
      <c r="AG60" s="227"/>
      <c r="AH60" s="227"/>
      <c r="AI60" s="227"/>
      <c r="AJ60" s="228"/>
      <c r="AK60" s="263"/>
      <c r="AL60" s="264"/>
      <c r="AM60" s="264"/>
      <c r="AN60" s="264"/>
      <c r="AO60" s="264"/>
      <c r="AP60" s="264"/>
      <c r="AQ60" s="264"/>
      <c r="AR60" s="264"/>
      <c r="AS60" s="264"/>
      <c r="AT60" s="264"/>
      <c r="AU60" s="264"/>
      <c r="AV60" s="264"/>
      <c r="AW60" s="264"/>
      <c r="AX60" s="264"/>
      <c r="AY60" s="264"/>
      <c r="AZ60" s="264"/>
      <c r="BA60" s="264"/>
      <c r="BB60" s="264"/>
      <c r="BC60" s="264"/>
      <c r="BD60" s="264"/>
      <c r="BE60" s="264"/>
      <c r="BF60" s="264"/>
      <c r="BG60" s="265"/>
    </row>
    <row r="61" spans="1:59" ht="9.75" customHeight="1">
      <c r="A61" s="226"/>
      <c r="B61" s="227"/>
      <c r="C61" s="227"/>
      <c r="D61" s="227"/>
      <c r="E61" s="227"/>
      <c r="F61" s="227"/>
      <c r="G61" s="227"/>
      <c r="H61" s="227"/>
      <c r="I61" s="227"/>
      <c r="J61" s="228"/>
      <c r="K61" s="421"/>
      <c r="L61" s="413"/>
      <c r="M61" s="413"/>
      <c r="N61" s="413"/>
      <c r="O61" s="413"/>
      <c r="P61" s="413"/>
      <c r="Q61" s="413"/>
      <c r="R61" s="413"/>
      <c r="S61" s="413"/>
      <c r="T61" s="413"/>
      <c r="U61" s="413"/>
      <c r="V61" s="413"/>
      <c r="W61" s="413"/>
      <c r="X61" s="413"/>
      <c r="Y61" s="413"/>
      <c r="Z61" s="413"/>
      <c r="AA61" s="413"/>
      <c r="AB61" s="413"/>
      <c r="AC61" s="413"/>
      <c r="AD61" s="416"/>
      <c r="AE61" s="226"/>
      <c r="AF61" s="227"/>
      <c r="AG61" s="227"/>
      <c r="AH61" s="227"/>
      <c r="AI61" s="227"/>
      <c r="AJ61" s="228"/>
      <c r="AK61" s="257" t="s">
        <v>34</v>
      </c>
      <c r="AL61" s="258"/>
      <c r="AM61" s="258"/>
      <c r="AN61" s="252"/>
      <c r="AO61" s="252"/>
      <c r="AP61" s="252"/>
      <c r="AQ61" s="252"/>
      <c r="AR61" s="252"/>
      <c r="AS61" s="252"/>
      <c r="AT61" s="252"/>
      <c r="AU61" s="252"/>
      <c r="AV61" s="252"/>
      <c r="AW61" s="252"/>
      <c r="AX61" s="252"/>
      <c r="AY61" s="252"/>
      <c r="AZ61" s="252"/>
      <c r="BA61" s="252"/>
      <c r="BB61" s="252"/>
      <c r="BC61" s="252"/>
      <c r="BD61" s="252"/>
      <c r="BE61" s="252"/>
      <c r="BF61" s="252"/>
      <c r="BG61" s="253"/>
    </row>
    <row r="62" spans="1:59" ht="9.75" customHeight="1" thickBot="1">
      <c r="A62" s="229"/>
      <c r="B62" s="230"/>
      <c r="C62" s="230"/>
      <c r="D62" s="230"/>
      <c r="E62" s="230"/>
      <c r="F62" s="230"/>
      <c r="G62" s="230"/>
      <c r="H62" s="230"/>
      <c r="I62" s="230"/>
      <c r="J62" s="231"/>
      <c r="K62" s="422"/>
      <c r="L62" s="414"/>
      <c r="M62" s="414"/>
      <c r="N62" s="414"/>
      <c r="O62" s="414"/>
      <c r="P62" s="414"/>
      <c r="Q62" s="414"/>
      <c r="R62" s="414"/>
      <c r="S62" s="414"/>
      <c r="T62" s="414"/>
      <c r="U62" s="414"/>
      <c r="V62" s="414"/>
      <c r="W62" s="414"/>
      <c r="X62" s="414"/>
      <c r="Y62" s="414"/>
      <c r="Z62" s="414"/>
      <c r="AA62" s="414"/>
      <c r="AB62" s="414"/>
      <c r="AC62" s="414"/>
      <c r="AD62" s="417"/>
      <c r="AE62" s="229"/>
      <c r="AF62" s="230"/>
      <c r="AG62" s="230"/>
      <c r="AH62" s="230"/>
      <c r="AI62" s="230"/>
      <c r="AJ62" s="231"/>
      <c r="AK62" s="259"/>
      <c r="AL62" s="260"/>
      <c r="AM62" s="260"/>
      <c r="AN62" s="261"/>
      <c r="AO62" s="261"/>
      <c r="AP62" s="261"/>
      <c r="AQ62" s="261"/>
      <c r="AR62" s="261"/>
      <c r="AS62" s="261"/>
      <c r="AT62" s="261"/>
      <c r="AU62" s="261"/>
      <c r="AV62" s="261"/>
      <c r="AW62" s="261"/>
      <c r="AX62" s="261"/>
      <c r="AY62" s="261"/>
      <c r="AZ62" s="261"/>
      <c r="BA62" s="261"/>
      <c r="BB62" s="261"/>
      <c r="BC62" s="261"/>
      <c r="BD62" s="261"/>
      <c r="BE62" s="261"/>
      <c r="BF62" s="261"/>
      <c r="BG62" s="262"/>
    </row>
    <row r="63" spans="1:59" ht="9.75" customHeight="1"/>
    <row r="64" spans="1:59" s="4" customFormat="1" ht="9.75" customHeight="1">
      <c r="A64" s="267" t="s">
        <v>23</v>
      </c>
      <c r="B64" s="267"/>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7"/>
      <c r="AO64" s="267"/>
      <c r="AP64" s="267"/>
      <c r="AQ64" s="267"/>
      <c r="AR64" s="267"/>
      <c r="AS64" s="267"/>
      <c r="AT64" s="267"/>
      <c r="AU64" s="267"/>
      <c r="AV64" s="267"/>
      <c r="AW64" s="267"/>
      <c r="AX64" s="267"/>
      <c r="AY64" s="267"/>
      <c r="AZ64" s="267"/>
      <c r="BA64" s="267"/>
      <c r="BB64" s="267"/>
      <c r="BC64" s="267"/>
      <c r="BD64" s="267"/>
      <c r="BE64" s="267"/>
      <c r="BF64" s="267"/>
      <c r="BG64" s="267"/>
    </row>
    <row r="65" spans="1:59" ht="9.75" customHeight="1" thickBot="1">
      <c r="A65" s="267"/>
      <c r="B65" s="267"/>
      <c r="C65" s="267"/>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7"/>
      <c r="AO65" s="267"/>
      <c r="AP65" s="267"/>
      <c r="AQ65" s="267"/>
      <c r="AR65" s="267"/>
      <c r="AS65" s="267"/>
      <c r="AT65" s="267"/>
      <c r="AU65" s="267"/>
      <c r="AV65" s="267"/>
      <c r="AW65" s="267"/>
      <c r="AX65" s="267"/>
      <c r="AY65" s="267"/>
      <c r="AZ65" s="267"/>
      <c r="BA65" s="267"/>
      <c r="BB65" s="267"/>
      <c r="BC65" s="267"/>
      <c r="BD65" s="267"/>
      <c r="BE65" s="267"/>
      <c r="BF65" s="267"/>
      <c r="BG65" s="267"/>
    </row>
    <row r="66" spans="1:59" ht="9.75" customHeight="1">
      <c r="A66" s="269" t="s">
        <v>24</v>
      </c>
      <c r="B66" s="270"/>
      <c r="C66" s="270"/>
      <c r="D66" s="270"/>
      <c r="E66" s="270"/>
      <c r="F66" s="271"/>
      <c r="G66" s="131"/>
      <c r="H66" s="318" t="str">
        <f>V14</f>
        <v>令和７年</v>
      </c>
      <c r="I66" s="319"/>
      <c r="J66" s="319"/>
      <c r="K66" s="319"/>
      <c r="L66" s="319"/>
      <c r="M66" s="319"/>
      <c r="N66" s="322" t="str">
        <f>AD14</f>
        <v>４月分</v>
      </c>
      <c r="O66" s="323"/>
      <c r="P66" s="323"/>
      <c r="Q66" s="323"/>
      <c r="R66" s="323"/>
      <c r="S66" s="285"/>
      <c r="T66" s="285"/>
      <c r="U66" s="286"/>
      <c r="V66" s="278" t="s">
        <v>25</v>
      </c>
      <c r="W66" s="270"/>
      <c r="X66" s="270"/>
      <c r="Y66" s="270"/>
      <c r="Z66" s="270"/>
      <c r="AA66" s="270"/>
      <c r="AB66" s="270"/>
      <c r="AC66" s="270"/>
      <c r="AD66" s="271"/>
      <c r="AE66" s="279">
        <f>AX66+AX68</f>
        <v>0</v>
      </c>
      <c r="AF66" s="280"/>
      <c r="AG66" s="280"/>
      <c r="AH66" s="280"/>
      <c r="AI66" s="280"/>
      <c r="AJ66" s="280"/>
      <c r="AK66" s="280"/>
      <c r="AL66" s="280"/>
      <c r="AM66" s="280"/>
      <c r="AN66" s="280"/>
      <c r="AO66" s="285" t="s">
        <v>26</v>
      </c>
      <c r="AP66" s="285"/>
      <c r="AQ66" s="286"/>
      <c r="AR66" s="291" t="s">
        <v>100</v>
      </c>
      <c r="AS66" s="292"/>
      <c r="AT66" s="292"/>
      <c r="AU66" s="292"/>
      <c r="AV66" s="292"/>
      <c r="AW66" s="293"/>
      <c r="AX66" s="300">
        <f>①園入力用名簿!$C$4</f>
        <v>0</v>
      </c>
      <c r="AY66" s="301"/>
      <c r="AZ66" s="301"/>
      <c r="BA66" s="301"/>
      <c r="BB66" s="301"/>
      <c r="BC66" s="301"/>
      <c r="BD66" s="301"/>
      <c r="BE66" s="301"/>
      <c r="BF66" s="314" t="s">
        <v>102</v>
      </c>
      <c r="BG66" s="315"/>
    </row>
    <row r="67" spans="1:59" ht="9.75" customHeight="1">
      <c r="A67" s="272"/>
      <c r="B67" s="273"/>
      <c r="C67" s="273"/>
      <c r="D67" s="273"/>
      <c r="E67" s="273"/>
      <c r="F67" s="274"/>
      <c r="G67" s="132"/>
      <c r="H67" s="320"/>
      <c r="I67" s="320"/>
      <c r="J67" s="320"/>
      <c r="K67" s="320"/>
      <c r="L67" s="320"/>
      <c r="M67" s="320"/>
      <c r="N67" s="324"/>
      <c r="O67" s="324"/>
      <c r="P67" s="324"/>
      <c r="Q67" s="324"/>
      <c r="R67" s="324"/>
      <c r="S67" s="287"/>
      <c r="T67" s="287"/>
      <c r="U67" s="288"/>
      <c r="V67" s="272"/>
      <c r="W67" s="273"/>
      <c r="X67" s="273"/>
      <c r="Y67" s="273"/>
      <c r="Z67" s="273"/>
      <c r="AA67" s="273"/>
      <c r="AB67" s="273"/>
      <c r="AC67" s="273"/>
      <c r="AD67" s="274"/>
      <c r="AE67" s="281"/>
      <c r="AF67" s="282"/>
      <c r="AG67" s="282"/>
      <c r="AH67" s="282"/>
      <c r="AI67" s="282"/>
      <c r="AJ67" s="282"/>
      <c r="AK67" s="282"/>
      <c r="AL67" s="282"/>
      <c r="AM67" s="282"/>
      <c r="AN67" s="282"/>
      <c r="AO67" s="287"/>
      <c r="AP67" s="287"/>
      <c r="AQ67" s="288"/>
      <c r="AR67" s="294"/>
      <c r="AS67" s="295"/>
      <c r="AT67" s="295"/>
      <c r="AU67" s="295"/>
      <c r="AV67" s="295"/>
      <c r="AW67" s="296"/>
      <c r="AX67" s="302"/>
      <c r="AY67" s="303"/>
      <c r="AZ67" s="303"/>
      <c r="BA67" s="303"/>
      <c r="BB67" s="303"/>
      <c r="BC67" s="303"/>
      <c r="BD67" s="303"/>
      <c r="BE67" s="303"/>
      <c r="BF67" s="316"/>
      <c r="BG67" s="317"/>
    </row>
    <row r="68" spans="1:59" ht="9.75" customHeight="1">
      <c r="A68" s="272"/>
      <c r="B68" s="273"/>
      <c r="C68" s="273"/>
      <c r="D68" s="273"/>
      <c r="E68" s="273"/>
      <c r="F68" s="274"/>
      <c r="G68" s="132"/>
      <c r="H68" s="320"/>
      <c r="I68" s="320"/>
      <c r="J68" s="320"/>
      <c r="K68" s="320"/>
      <c r="L68" s="320"/>
      <c r="M68" s="320"/>
      <c r="N68" s="324"/>
      <c r="O68" s="324"/>
      <c r="P68" s="324"/>
      <c r="Q68" s="324"/>
      <c r="R68" s="324"/>
      <c r="S68" s="287"/>
      <c r="T68" s="287"/>
      <c r="U68" s="288"/>
      <c r="V68" s="272"/>
      <c r="W68" s="273"/>
      <c r="X68" s="273"/>
      <c r="Y68" s="273"/>
      <c r="Z68" s="273"/>
      <c r="AA68" s="273"/>
      <c r="AB68" s="273"/>
      <c r="AC68" s="273"/>
      <c r="AD68" s="274"/>
      <c r="AE68" s="281"/>
      <c r="AF68" s="282"/>
      <c r="AG68" s="282"/>
      <c r="AH68" s="282"/>
      <c r="AI68" s="282"/>
      <c r="AJ68" s="282"/>
      <c r="AK68" s="282"/>
      <c r="AL68" s="282"/>
      <c r="AM68" s="282"/>
      <c r="AN68" s="282"/>
      <c r="AO68" s="287"/>
      <c r="AP68" s="287"/>
      <c r="AQ68" s="288"/>
      <c r="AR68" s="294" t="s">
        <v>101</v>
      </c>
      <c r="AS68" s="295"/>
      <c r="AT68" s="295"/>
      <c r="AU68" s="295"/>
      <c r="AV68" s="295"/>
      <c r="AW68" s="296"/>
      <c r="AX68" s="310"/>
      <c r="AY68" s="311"/>
      <c r="AZ68" s="311"/>
      <c r="BA68" s="311"/>
      <c r="BB68" s="311"/>
      <c r="BC68" s="311"/>
      <c r="BD68" s="311"/>
      <c r="BE68" s="311"/>
      <c r="BF68" s="316" t="s">
        <v>102</v>
      </c>
      <c r="BG68" s="317"/>
    </row>
    <row r="69" spans="1:59" ht="9.75" customHeight="1" thickBot="1">
      <c r="A69" s="275"/>
      <c r="B69" s="276"/>
      <c r="C69" s="276"/>
      <c r="D69" s="276"/>
      <c r="E69" s="276"/>
      <c r="F69" s="277"/>
      <c r="G69" s="133"/>
      <c r="H69" s="321"/>
      <c r="I69" s="321"/>
      <c r="J69" s="321"/>
      <c r="K69" s="321"/>
      <c r="L69" s="321"/>
      <c r="M69" s="321"/>
      <c r="N69" s="325"/>
      <c r="O69" s="325"/>
      <c r="P69" s="325"/>
      <c r="Q69" s="325"/>
      <c r="R69" s="325"/>
      <c r="S69" s="289"/>
      <c r="T69" s="289"/>
      <c r="U69" s="290"/>
      <c r="V69" s="275"/>
      <c r="W69" s="276"/>
      <c r="X69" s="276"/>
      <c r="Y69" s="276"/>
      <c r="Z69" s="276"/>
      <c r="AA69" s="276"/>
      <c r="AB69" s="276"/>
      <c r="AC69" s="276"/>
      <c r="AD69" s="277"/>
      <c r="AE69" s="283"/>
      <c r="AF69" s="284"/>
      <c r="AG69" s="284"/>
      <c r="AH69" s="284"/>
      <c r="AI69" s="284"/>
      <c r="AJ69" s="284"/>
      <c r="AK69" s="284"/>
      <c r="AL69" s="284"/>
      <c r="AM69" s="284"/>
      <c r="AN69" s="284"/>
      <c r="AO69" s="289"/>
      <c r="AP69" s="289"/>
      <c r="AQ69" s="290"/>
      <c r="AR69" s="297"/>
      <c r="AS69" s="298"/>
      <c r="AT69" s="298"/>
      <c r="AU69" s="298"/>
      <c r="AV69" s="298"/>
      <c r="AW69" s="299"/>
      <c r="AX69" s="312"/>
      <c r="AY69" s="313"/>
      <c r="AZ69" s="313"/>
      <c r="BA69" s="313"/>
      <c r="BB69" s="313"/>
      <c r="BC69" s="313"/>
      <c r="BD69" s="313"/>
      <c r="BE69" s="313"/>
      <c r="BF69" s="336"/>
      <c r="BG69" s="337"/>
    </row>
    <row r="70" spans="1:59" ht="9.75" customHeight="1"/>
    <row r="71" spans="1:59" s="4" customFormat="1" ht="9.75" customHeight="1">
      <c r="A71" s="267" t="s">
        <v>27</v>
      </c>
      <c r="B71" s="267"/>
      <c r="C71" s="267"/>
      <c r="D71" s="267"/>
      <c r="E71" s="267"/>
      <c r="F71" s="267"/>
      <c r="G71" s="267"/>
      <c r="H71" s="267"/>
      <c r="I71" s="267"/>
      <c r="J71" s="267"/>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M71" s="267"/>
      <c r="AN71" s="267"/>
      <c r="AO71" s="267"/>
      <c r="AP71" s="267"/>
      <c r="AQ71" s="267"/>
      <c r="AR71" s="267"/>
      <c r="AS71" s="267"/>
      <c r="AT71" s="267"/>
      <c r="AU71" s="267"/>
      <c r="AV71" s="267"/>
      <c r="AW71" s="267"/>
      <c r="AX71" s="267"/>
      <c r="AY71" s="267"/>
      <c r="AZ71" s="267"/>
      <c r="BA71" s="267"/>
      <c r="BB71" s="267"/>
      <c r="BC71" s="267"/>
      <c r="BD71" s="267"/>
      <c r="BE71" s="267"/>
      <c r="BF71" s="267"/>
      <c r="BG71" s="267"/>
    </row>
    <row r="72" spans="1:59" ht="9.75" customHeight="1">
      <c r="A72" s="267"/>
      <c r="B72" s="267"/>
      <c r="C72" s="267"/>
      <c r="D72" s="267"/>
      <c r="E72" s="267"/>
      <c r="F72" s="267"/>
      <c r="G72" s="267"/>
      <c r="H72" s="267"/>
      <c r="I72" s="267"/>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267"/>
      <c r="AM72" s="267"/>
      <c r="AN72" s="267"/>
      <c r="AO72" s="267"/>
      <c r="AP72" s="267"/>
      <c r="AQ72" s="267"/>
      <c r="AR72" s="267"/>
      <c r="AS72" s="267"/>
      <c r="AT72" s="267"/>
      <c r="AU72" s="267"/>
      <c r="AV72" s="267"/>
      <c r="AW72" s="267"/>
      <c r="AX72" s="267"/>
      <c r="AY72" s="267"/>
      <c r="AZ72" s="267"/>
      <c r="BA72" s="267"/>
      <c r="BB72" s="267"/>
      <c r="BC72" s="267"/>
      <c r="BD72" s="267"/>
      <c r="BE72" s="267"/>
      <c r="BF72" s="267"/>
      <c r="BG72" s="267"/>
    </row>
    <row r="73" spans="1:59" ht="9.75" customHeight="1">
      <c r="C73" s="266" t="s">
        <v>98</v>
      </c>
      <c r="D73" s="266"/>
      <c r="E73" s="266"/>
      <c r="F73" s="266"/>
      <c r="G73" s="266"/>
      <c r="H73" s="266"/>
      <c r="I73" s="266"/>
      <c r="J73" s="266"/>
      <c r="K73" s="266"/>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266"/>
      <c r="AP73" s="266"/>
      <c r="AQ73" s="266"/>
      <c r="AR73" s="266"/>
      <c r="AS73" s="266"/>
      <c r="AT73" s="266"/>
      <c r="AU73" s="266"/>
      <c r="AV73" s="266"/>
      <c r="AW73" s="266"/>
      <c r="AX73" s="266"/>
      <c r="AY73" s="266"/>
      <c r="AZ73" s="266"/>
      <c r="BA73" s="266"/>
      <c r="BB73" s="266"/>
      <c r="BC73" s="266"/>
      <c r="BD73" s="266"/>
      <c r="BE73" s="266"/>
    </row>
    <row r="74" spans="1:59" ht="9.75" customHeight="1">
      <c r="C74" s="266"/>
      <c r="D74" s="266"/>
      <c r="E74" s="266"/>
      <c r="F74" s="266"/>
      <c r="G74" s="266"/>
      <c r="H74" s="266"/>
      <c r="I74" s="266"/>
      <c r="J74" s="266"/>
      <c r="K74" s="266"/>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c r="AO74" s="266"/>
      <c r="AP74" s="266"/>
      <c r="AQ74" s="266"/>
      <c r="AR74" s="266"/>
      <c r="AS74" s="266"/>
      <c r="AT74" s="266"/>
      <c r="AU74" s="266"/>
      <c r="AV74" s="266"/>
      <c r="AW74" s="266"/>
      <c r="AX74" s="266"/>
      <c r="AY74" s="266"/>
      <c r="AZ74" s="266"/>
      <c r="BA74" s="266"/>
      <c r="BB74" s="266"/>
      <c r="BC74" s="266"/>
      <c r="BD74" s="266"/>
      <c r="BE74" s="266"/>
    </row>
    <row r="75" spans="1:59" ht="9.75" customHeight="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row>
    <row r="76" spans="1:59" s="4" customFormat="1" ht="9.75" customHeight="1">
      <c r="A76" s="267" t="s">
        <v>28</v>
      </c>
      <c r="B76" s="267"/>
      <c r="C76" s="267"/>
      <c r="D76" s="267"/>
      <c r="E76" s="267"/>
      <c r="F76" s="267"/>
      <c r="G76" s="267"/>
      <c r="H76" s="267"/>
      <c r="I76" s="267"/>
      <c r="J76" s="267"/>
      <c r="K76" s="267"/>
      <c r="L76" s="267"/>
      <c r="M76" s="267"/>
      <c r="N76" s="267"/>
      <c r="O76" s="267"/>
      <c r="P76" s="267"/>
      <c r="Q76" s="267"/>
      <c r="R76" s="267"/>
      <c r="S76" s="267"/>
      <c r="T76" s="267"/>
      <c r="U76" s="267"/>
      <c r="V76" s="267"/>
      <c r="W76" s="267"/>
      <c r="X76" s="267"/>
      <c r="Y76" s="267"/>
      <c r="Z76" s="267"/>
      <c r="AA76" s="267"/>
      <c r="AB76" s="267"/>
      <c r="AC76" s="267"/>
      <c r="AD76" s="267"/>
      <c r="AE76" s="267"/>
      <c r="AF76" s="267"/>
      <c r="AG76" s="267"/>
      <c r="AH76" s="267"/>
      <c r="AI76" s="267"/>
      <c r="AJ76" s="267"/>
      <c r="AK76" s="267"/>
      <c r="AL76" s="267"/>
      <c r="AM76" s="267"/>
      <c r="AN76" s="267"/>
      <c r="AO76" s="267"/>
      <c r="AP76" s="267"/>
      <c r="AQ76" s="267"/>
      <c r="AR76" s="267"/>
      <c r="AS76" s="267"/>
      <c r="AT76" s="267"/>
      <c r="AU76" s="267"/>
      <c r="AV76" s="267"/>
      <c r="AW76" s="267"/>
      <c r="AX76" s="267"/>
      <c r="AY76" s="267"/>
      <c r="AZ76" s="267"/>
      <c r="BA76" s="267"/>
      <c r="BB76" s="267"/>
      <c r="BC76" s="267"/>
      <c r="BD76" s="267"/>
      <c r="BE76" s="267"/>
      <c r="BF76" s="267"/>
      <c r="BG76" s="267"/>
    </row>
    <row r="77" spans="1:59" ht="9.75" customHeight="1" thickBot="1">
      <c r="A77" s="268"/>
      <c r="B77" s="268"/>
      <c r="C77" s="268"/>
      <c r="D77" s="268"/>
      <c r="E77" s="268"/>
      <c r="F77" s="268"/>
      <c r="G77" s="268"/>
      <c r="H77" s="268"/>
      <c r="I77" s="268"/>
      <c r="J77" s="268"/>
      <c r="K77" s="268"/>
      <c r="L77" s="268"/>
      <c r="M77" s="268"/>
      <c r="N77" s="268"/>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c r="AN77" s="268"/>
      <c r="AO77" s="268"/>
      <c r="AP77" s="268"/>
      <c r="AQ77" s="268"/>
      <c r="AR77" s="268"/>
      <c r="AS77" s="268"/>
      <c r="AT77" s="268"/>
      <c r="AU77" s="268"/>
      <c r="AV77" s="268"/>
      <c r="AW77" s="268"/>
      <c r="AX77" s="268"/>
      <c r="AY77" s="268"/>
      <c r="AZ77" s="268"/>
      <c r="BA77" s="268"/>
      <c r="BB77" s="268"/>
      <c r="BC77" s="268"/>
      <c r="BD77" s="268"/>
      <c r="BE77" s="268"/>
      <c r="BF77" s="268"/>
      <c r="BG77" s="268"/>
    </row>
    <row r="78" spans="1:59" ht="9.75" customHeight="1">
      <c r="A78" s="238" t="s">
        <v>32</v>
      </c>
      <c r="B78" s="239"/>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40"/>
      <c r="AE78" s="385" t="s">
        <v>29</v>
      </c>
      <c r="AF78" s="386"/>
      <c r="AG78" s="386"/>
      <c r="AH78" s="386"/>
      <c r="AI78" s="386"/>
      <c r="AJ78" s="386"/>
      <c r="AK78" s="386"/>
      <c r="AL78" s="387"/>
      <c r="AM78" s="334"/>
      <c r="AN78" s="326"/>
      <c r="AO78" s="326"/>
      <c r="AP78" s="326"/>
      <c r="AQ78" s="326"/>
      <c r="AR78" s="326"/>
      <c r="AS78" s="326"/>
      <c r="AT78" s="326"/>
      <c r="AU78" s="326"/>
      <c r="AV78" s="326"/>
      <c r="AW78" s="326"/>
      <c r="AX78" s="326"/>
      <c r="AY78" s="326"/>
      <c r="AZ78" s="326"/>
      <c r="BA78" s="326"/>
      <c r="BB78" s="326"/>
      <c r="BC78" s="326"/>
      <c r="BD78" s="326"/>
      <c r="BE78" s="326"/>
      <c r="BF78" s="326"/>
      <c r="BG78" s="391"/>
    </row>
    <row r="79" spans="1:59" ht="9.75" customHeight="1">
      <c r="A79" s="241"/>
      <c r="B79" s="242"/>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3"/>
      <c r="AE79" s="388"/>
      <c r="AF79" s="389"/>
      <c r="AG79" s="389"/>
      <c r="AH79" s="389"/>
      <c r="AI79" s="389"/>
      <c r="AJ79" s="389"/>
      <c r="AK79" s="389"/>
      <c r="AL79" s="390"/>
      <c r="AM79" s="335"/>
      <c r="AN79" s="327"/>
      <c r="AO79" s="327"/>
      <c r="AP79" s="327"/>
      <c r="AQ79" s="327"/>
      <c r="AR79" s="327"/>
      <c r="AS79" s="327"/>
      <c r="AT79" s="327"/>
      <c r="AU79" s="327"/>
      <c r="AV79" s="327"/>
      <c r="AW79" s="327"/>
      <c r="AX79" s="327"/>
      <c r="AY79" s="327"/>
      <c r="AZ79" s="327"/>
      <c r="BA79" s="327"/>
      <c r="BB79" s="327"/>
      <c r="BC79" s="327"/>
      <c r="BD79" s="327"/>
      <c r="BE79" s="327"/>
      <c r="BF79" s="327"/>
      <c r="BG79" s="392"/>
    </row>
    <row r="80" spans="1:59" ht="9.75" customHeight="1">
      <c r="A80" s="393"/>
      <c r="B80" s="394"/>
      <c r="C80" s="394"/>
      <c r="D80" s="394"/>
      <c r="E80" s="394"/>
      <c r="F80" s="394"/>
      <c r="G80" s="394"/>
      <c r="H80" s="394"/>
      <c r="I80" s="394"/>
      <c r="J80" s="394"/>
      <c r="K80" s="328" t="s">
        <v>95</v>
      </c>
      <c r="L80" s="328"/>
      <c r="M80" s="328"/>
      <c r="N80" s="328"/>
      <c r="O80" s="328"/>
      <c r="P80" s="328"/>
      <c r="Q80" s="328"/>
      <c r="R80" s="394"/>
      <c r="S80" s="394"/>
      <c r="T80" s="394"/>
      <c r="U80" s="394"/>
      <c r="V80" s="394"/>
      <c r="W80" s="394"/>
      <c r="X80" s="394"/>
      <c r="Y80" s="394"/>
      <c r="Z80" s="328" t="s">
        <v>96</v>
      </c>
      <c r="AA80" s="328"/>
      <c r="AB80" s="328"/>
      <c r="AC80" s="328"/>
      <c r="AD80" s="329"/>
      <c r="AE80" s="423" t="s">
        <v>30</v>
      </c>
      <c r="AF80" s="424"/>
      <c r="AG80" s="424"/>
      <c r="AH80" s="424"/>
      <c r="AI80" s="424"/>
      <c r="AJ80" s="424"/>
      <c r="AK80" s="424"/>
      <c r="AL80" s="425"/>
      <c r="AM80" s="354"/>
      <c r="AN80" s="355"/>
      <c r="AO80" s="355"/>
      <c r="AP80" s="354"/>
      <c r="AQ80" s="355"/>
      <c r="AR80" s="355"/>
      <c r="AS80" s="354"/>
      <c r="AT80" s="355"/>
      <c r="AU80" s="355"/>
      <c r="AV80" s="354"/>
      <c r="AW80" s="355"/>
      <c r="AX80" s="355"/>
      <c r="AY80" s="354"/>
      <c r="AZ80" s="355"/>
      <c r="BA80" s="355"/>
      <c r="BB80" s="354"/>
      <c r="BC80" s="355"/>
      <c r="BD80" s="355"/>
      <c r="BE80" s="354"/>
      <c r="BF80" s="355"/>
      <c r="BG80" s="361"/>
    </row>
    <row r="81" spans="1:60" ht="9.75" customHeight="1">
      <c r="A81" s="395"/>
      <c r="B81" s="396"/>
      <c r="C81" s="396"/>
      <c r="D81" s="396"/>
      <c r="E81" s="396"/>
      <c r="F81" s="396"/>
      <c r="G81" s="396"/>
      <c r="H81" s="396"/>
      <c r="I81" s="396"/>
      <c r="J81" s="396"/>
      <c r="K81" s="330"/>
      <c r="L81" s="330"/>
      <c r="M81" s="330"/>
      <c r="N81" s="330"/>
      <c r="O81" s="330"/>
      <c r="P81" s="330"/>
      <c r="Q81" s="330"/>
      <c r="R81" s="396"/>
      <c r="S81" s="396"/>
      <c r="T81" s="396"/>
      <c r="U81" s="396"/>
      <c r="V81" s="396"/>
      <c r="W81" s="396"/>
      <c r="X81" s="396"/>
      <c r="Y81" s="396"/>
      <c r="Z81" s="330"/>
      <c r="AA81" s="330"/>
      <c r="AB81" s="330"/>
      <c r="AC81" s="330"/>
      <c r="AD81" s="331"/>
      <c r="AE81" s="388"/>
      <c r="AF81" s="389"/>
      <c r="AG81" s="389"/>
      <c r="AH81" s="389"/>
      <c r="AI81" s="389"/>
      <c r="AJ81" s="389"/>
      <c r="AK81" s="389"/>
      <c r="AL81" s="390"/>
      <c r="AM81" s="356"/>
      <c r="AN81" s="356"/>
      <c r="AO81" s="356"/>
      <c r="AP81" s="356"/>
      <c r="AQ81" s="356"/>
      <c r="AR81" s="356"/>
      <c r="AS81" s="356"/>
      <c r="AT81" s="356"/>
      <c r="AU81" s="356"/>
      <c r="AV81" s="356"/>
      <c r="AW81" s="356"/>
      <c r="AX81" s="356"/>
      <c r="AY81" s="356"/>
      <c r="AZ81" s="356"/>
      <c r="BA81" s="356"/>
      <c r="BB81" s="356"/>
      <c r="BC81" s="356"/>
      <c r="BD81" s="356"/>
      <c r="BE81" s="356"/>
      <c r="BF81" s="356"/>
      <c r="BG81" s="362"/>
    </row>
    <row r="82" spans="1:60" ht="9.75" customHeight="1">
      <c r="A82" s="395"/>
      <c r="B82" s="396"/>
      <c r="C82" s="396"/>
      <c r="D82" s="396"/>
      <c r="E82" s="396"/>
      <c r="F82" s="396"/>
      <c r="G82" s="396"/>
      <c r="H82" s="396"/>
      <c r="I82" s="396"/>
      <c r="J82" s="396"/>
      <c r="K82" s="330"/>
      <c r="L82" s="330"/>
      <c r="M82" s="330"/>
      <c r="N82" s="330"/>
      <c r="O82" s="330"/>
      <c r="P82" s="330"/>
      <c r="Q82" s="330"/>
      <c r="R82" s="396"/>
      <c r="S82" s="396"/>
      <c r="T82" s="396"/>
      <c r="U82" s="396"/>
      <c r="V82" s="396"/>
      <c r="W82" s="396"/>
      <c r="X82" s="396"/>
      <c r="Y82" s="396"/>
      <c r="Z82" s="330"/>
      <c r="AA82" s="330"/>
      <c r="AB82" s="330"/>
      <c r="AC82" s="330"/>
      <c r="AD82" s="331"/>
      <c r="AE82" s="348" t="s">
        <v>31</v>
      </c>
      <c r="AF82" s="349"/>
      <c r="AG82" s="349"/>
      <c r="AH82" s="349"/>
      <c r="AI82" s="349"/>
      <c r="AJ82" s="349"/>
      <c r="AK82" s="349"/>
      <c r="AL82" s="350"/>
      <c r="AM82" s="357"/>
      <c r="AN82" s="357"/>
      <c r="AO82" s="357"/>
      <c r="AP82" s="357"/>
      <c r="AQ82" s="357"/>
      <c r="AR82" s="357"/>
      <c r="AS82" s="357"/>
      <c r="AT82" s="357"/>
      <c r="AU82" s="357"/>
      <c r="AV82" s="357"/>
      <c r="AW82" s="357"/>
      <c r="AX82" s="357"/>
      <c r="AY82" s="357"/>
      <c r="AZ82" s="357"/>
      <c r="BA82" s="357"/>
      <c r="BB82" s="357"/>
      <c r="BC82" s="357"/>
      <c r="BD82" s="357"/>
      <c r="BE82" s="357"/>
      <c r="BF82" s="357"/>
      <c r="BG82" s="358"/>
    </row>
    <row r="83" spans="1:60" ht="9.75" customHeight="1" thickBot="1">
      <c r="A83" s="397"/>
      <c r="B83" s="398"/>
      <c r="C83" s="398"/>
      <c r="D83" s="398"/>
      <c r="E83" s="398"/>
      <c r="F83" s="398"/>
      <c r="G83" s="398"/>
      <c r="H83" s="398"/>
      <c r="I83" s="398"/>
      <c r="J83" s="398"/>
      <c r="K83" s="332"/>
      <c r="L83" s="332"/>
      <c r="M83" s="332"/>
      <c r="N83" s="332"/>
      <c r="O83" s="332"/>
      <c r="P83" s="332"/>
      <c r="Q83" s="332"/>
      <c r="R83" s="398"/>
      <c r="S83" s="398"/>
      <c r="T83" s="398"/>
      <c r="U83" s="398"/>
      <c r="V83" s="398"/>
      <c r="W83" s="398"/>
      <c r="X83" s="398"/>
      <c r="Y83" s="398"/>
      <c r="Z83" s="332"/>
      <c r="AA83" s="332"/>
      <c r="AB83" s="332"/>
      <c r="AC83" s="332"/>
      <c r="AD83" s="333"/>
      <c r="AE83" s="351"/>
      <c r="AF83" s="352"/>
      <c r="AG83" s="352"/>
      <c r="AH83" s="352"/>
      <c r="AI83" s="352"/>
      <c r="AJ83" s="352"/>
      <c r="AK83" s="352"/>
      <c r="AL83" s="353"/>
      <c r="AM83" s="359"/>
      <c r="AN83" s="359"/>
      <c r="AO83" s="359"/>
      <c r="AP83" s="359"/>
      <c r="AQ83" s="359"/>
      <c r="AR83" s="359"/>
      <c r="AS83" s="359"/>
      <c r="AT83" s="359"/>
      <c r="AU83" s="359"/>
      <c r="AV83" s="359"/>
      <c r="AW83" s="359"/>
      <c r="AX83" s="359"/>
      <c r="AY83" s="359"/>
      <c r="AZ83" s="359"/>
      <c r="BA83" s="359"/>
      <c r="BB83" s="359"/>
      <c r="BC83" s="359"/>
      <c r="BD83" s="359"/>
      <c r="BE83" s="359"/>
      <c r="BF83" s="359"/>
      <c r="BG83" s="360"/>
    </row>
    <row r="84" spans="1:60" ht="9.75" customHeight="1">
      <c r="A84" s="266" t="s">
        <v>35</v>
      </c>
      <c r="B84" s="266"/>
      <c r="C84" s="266"/>
      <c r="D84" s="266"/>
      <c r="E84" s="266"/>
      <c r="F84" s="266"/>
      <c r="G84" s="266"/>
      <c r="H84" s="266"/>
      <c r="I84" s="266"/>
      <c r="J84" s="266"/>
      <c r="K84" s="266"/>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6"/>
      <c r="AO84" s="266"/>
      <c r="AP84" s="266"/>
      <c r="AQ84" s="266"/>
      <c r="AR84" s="266"/>
      <c r="AS84" s="266"/>
      <c r="AT84" s="266"/>
      <c r="AU84" s="266"/>
      <c r="AV84" s="266"/>
      <c r="AW84" s="266"/>
      <c r="AX84" s="266"/>
      <c r="AY84" s="266"/>
      <c r="AZ84" s="266"/>
      <c r="BA84" s="266"/>
      <c r="BB84" s="266"/>
      <c r="BC84" s="266"/>
      <c r="BD84" s="266"/>
      <c r="BE84" s="266"/>
      <c r="BF84" s="266"/>
      <c r="BG84" s="266"/>
      <c r="BH84" s="266"/>
    </row>
    <row r="85" spans="1:60" ht="9.75" customHeight="1">
      <c r="A85" s="266"/>
      <c r="B85" s="266"/>
      <c r="C85" s="266"/>
      <c r="D85" s="266"/>
      <c r="E85" s="266"/>
      <c r="F85" s="266"/>
      <c r="G85" s="266"/>
      <c r="H85" s="266"/>
      <c r="I85" s="266"/>
      <c r="J85" s="266"/>
      <c r="K85" s="266"/>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266"/>
      <c r="AP85" s="266"/>
      <c r="AQ85" s="266"/>
      <c r="AR85" s="266"/>
      <c r="AS85" s="266"/>
      <c r="AT85" s="266"/>
      <c r="AU85" s="266"/>
      <c r="AV85" s="266"/>
      <c r="AW85" s="266"/>
      <c r="AX85" s="266"/>
      <c r="AY85" s="266"/>
      <c r="AZ85" s="266"/>
      <c r="BA85" s="266"/>
      <c r="BB85" s="266"/>
      <c r="BC85" s="266"/>
      <c r="BD85" s="266"/>
      <c r="BE85" s="266"/>
      <c r="BF85" s="266"/>
      <c r="BG85" s="266"/>
      <c r="BH85" s="266"/>
    </row>
    <row r="86" spans="1:60" ht="9.75" customHeight="1"/>
    <row r="87" spans="1:60" s="190" customFormat="1" ht="9.75" customHeight="1">
      <c r="A87" s="399" t="s">
        <v>150</v>
      </c>
      <c r="B87" s="399"/>
      <c r="C87" s="399"/>
      <c r="D87" s="399"/>
      <c r="E87" s="399"/>
      <c r="F87" s="399"/>
      <c r="G87" s="401"/>
      <c r="H87" s="401"/>
      <c r="I87" s="401"/>
      <c r="J87" s="401"/>
      <c r="K87" s="401"/>
      <c r="L87" s="401"/>
      <c r="M87" s="401"/>
      <c r="N87" s="401"/>
      <c r="O87" s="401"/>
      <c r="P87" s="401"/>
      <c r="Q87" s="401"/>
      <c r="R87" s="401"/>
      <c r="S87" s="401"/>
      <c r="T87" s="401"/>
      <c r="U87" s="401"/>
      <c r="X87" s="399" t="s">
        <v>151</v>
      </c>
      <c r="Y87" s="399"/>
      <c r="Z87" s="399"/>
      <c r="AA87" s="399"/>
      <c r="AB87" s="399"/>
      <c r="AC87" s="399"/>
      <c r="AD87" s="401"/>
      <c r="AE87" s="401"/>
      <c r="AF87" s="401"/>
      <c r="AG87" s="401"/>
      <c r="AH87" s="401"/>
      <c r="AI87" s="401"/>
      <c r="AJ87" s="401"/>
      <c r="AK87" s="401"/>
      <c r="AL87" s="401"/>
      <c r="AM87" s="401"/>
      <c r="AN87" s="401"/>
      <c r="AO87" s="401"/>
      <c r="AP87" s="401"/>
      <c r="AQ87" s="401"/>
      <c r="AR87" s="401"/>
    </row>
    <row r="88" spans="1:60" s="190" customFormat="1" ht="9.75" customHeight="1">
      <c r="A88" s="400"/>
      <c r="B88" s="400"/>
      <c r="C88" s="400"/>
      <c r="D88" s="400"/>
      <c r="E88" s="400"/>
      <c r="F88" s="400"/>
      <c r="G88" s="402"/>
      <c r="H88" s="402"/>
      <c r="I88" s="402"/>
      <c r="J88" s="402"/>
      <c r="K88" s="402"/>
      <c r="L88" s="402"/>
      <c r="M88" s="402"/>
      <c r="N88" s="402"/>
      <c r="O88" s="402"/>
      <c r="P88" s="402"/>
      <c r="Q88" s="402"/>
      <c r="R88" s="402"/>
      <c r="S88" s="402"/>
      <c r="T88" s="402"/>
      <c r="U88" s="402"/>
      <c r="X88" s="400"/>
      <c r="Y88" s="400"/>
      <c r="Z88" s="400"/>
      <c r="AA88" s="400"/>
      <c r="AB88" s="400"/>
      <c r="AC88" s="400"/>
      <c r="AD88" s="402"/>
      <c r="AE88" s="402"/>
      <c r="AF88" s="402"/>
      <c r="AG88" s="402"/>
      <c r="AH88" s="402"/>
      <c r="AI88" s="402"/>
      <c r="AJ88" s="402"/>
      <c r="AK88" s="402"/>
      <c r="AL88" s="402"/>
      <c r="AM88" s="402"/>
      <c r="AN88" s="402"/>
      <c r="AO88" s="402"/>
      <c r="AP88" s="402"/>
      <c r="AQ88" s="402"/>
      <c r="AR88" s="402"/>
    </row>
    <row r="89" spans="1:60" ht="9.75" customHeight="1"/>
    <row r="90" spans="1:60" ht="9.75" customHeight="1"/>
    <row r="91" spans="1:60" ht="9.75" customHeight="1"/>
    <row r="92" spans="1:60" ht="9.75" customHeight="1"/>
    <row r="93" spans="1:60" ht="9.75" customHeight="1"/>
    <row r="94" spans="1:60" ht="9.75" customHeight="1"/>
  </sheetData>
  <sheetProtection password="CA30" sheet="1" objects="1" scenarios="1"/>
  <mergeCells count="111">
    <mergeCell ref="A87:F88"/>
    <mergeCell ref="G87:U88"/>
    <mergeCell ref="X87:AC88"/>
    <mergeCell ref="AD87:AR88"/>
    <mergeCell ref="A84:BH85"/>
    <mergeCell ref="K38:L43"/>
    <mergeCell ref="K36:L37"/>
    <mergeCell ref="M36:AD37"/>
    <mergeCell ref="L47:AC48"/>
    <mergeCell ref="L49:AC54"/>
    <mergeCell ref="AD49:AD54"/>
    <mergeCell ref="AD47:AD48"/>
    <mergeCell ref="K49:K54"/>
    <mergeCell ref="K47:K48"/>
    <mergeCell ref="L55:AC56"/>
    <mergeCell ref="L57:AC62"/>
    <mergeCell ref="AD57:AD62"/>
    <mergeCell ref="AD55:AD56"/>
    <mergeCell ref="K57:K62"/>
    <mergeCell ref="AE36:AJ39"/>
    <mergeCell ref="A36:J37"/>
    <mergeCell ref="A38:J43"/>
    <mergeCell ref="AP80:AR81"/>
    <mergeCell ref="AE80:AL81"/>
    <mergeCell ref="AE82:AL83"/>
    <mergeCell ref="AM80:AO81"/>
    <mergeCell ref="AM82:BG83"/>
    <mergeCell ref="BE80:BG81"/>
    <mergeCell ref="BB80:BD81"/>
    <mergeCell ref="AS80:AU81"/>
    <mergeCell ref="D29:BG30"/>
    <mergeCell ref="D31:BG32"/>
    <mergeCell ref="A34:BG35"/>
    <mergeCell ref="AE40:AJ43"/>
    <mergeCell ref="AL40:BF43"/>
    <mergeCell ref="BG40:BG43"/>
    <mergeCell ref="K80:Q83"/>
    <mergeCell ref="AK40:AK43"/>
    <mergeCell ref="AK36:AK39"/>
    <mergeCell ref="AL36:BF39"/>
    <mergeCell ref="BG36:BG39"/>
    <mergeCell ref="AY80:BA81"/>
    <mergeCell ref="AV80:AX81"/>
    <mergeCell ref="A78:AD79"/>
    <mergeCell ref="AE78:AL79"/>
    <mergeCell ref="BG78:BG79"/>
    <mergeCell ref="A80:J83"/>
    <mergeCell ref="R80:Y83"/>
    <mergeCell ref="AN78:BF79"/>
    <mergeCell ref="Z80:AD83"/>
    <mergeCell ref="AM78:AM79"/>
    <mergeCell ref="BF68:BG69"/>
    <mergeCell ref="T1:AM2"/>
    <mergeCell ref="O8:AR9"/>
    <mergeCell ref="A12:BG12"/>
    <mergeCell ref="A11:BG11"/>
    <mergeCell ref="T14:U15"/>
    <mergeCell ref="AD14:AG15"/>
    <mergeCell ref="AH14:AL15"/>
    <mergeCell ref="AM14:AN15"/>
    <mergeCell ref="B5:M6"/>
    <mergeCell ref="AY4:AZ5"/>
    <mergeCell ref="BC4:BD5"/>
    <mergeCell ref="AQ4:AT5"/>
    <mergeCell ref="AU4:AX5"/>
    <mergeCell ref="BA4:BB5"/>
    <mergeCell ref="V14:AB15"/>
    <mergeCell ref="D18:BG19"/>
    <mergeCell ref="C20:BG21"/>
    <mergeCell ref="BE4:BF5"/>
    <mergeCell ref="BG4:BH5"/>
    <mergeCell ref="C22:BG23"/>
    <mergeCell ref="D24:BG25"/>
    <mergeCell ref="D27:BG28"/>
    <mergeCell ref="A76:BG77"/>
    <mergeCell ref="A64:BG65"/>
    <mergeCell ref="A71:BG72"/>
    <mergeCell ref="A55:J56"/>
    <mergeCell ref="AE55:AJ56"/>
    <mergeCell ref="A66:F69"/>
    <mergeCell ref="V66:AD69"/>
    <mergeCell ref="C73:BE74"/>
    <mergeCell ref="AE66:AN69"/>
    <mergeCell ref="AO66:AQ69"/>
    <mergeCell ref="AR66:AW67"/>
    <mergeCell ref="AR68:AW69"/>
    <mergeCell ref="AX66:BE67"/>
    <mergeCell ref="S66:U69"/>
    <mergeCell ref="M38:AD43"/>
    <mergeCell ref="AX68:BE69"/>
    <mergeCell ref="BF66:BG67"/>
    <mergeCell ref="H66:M69"/>
    <mergeCell ref="N66:R69"/>
    <mergeCell ref="A45:BG46"/>
    <mergeCell ref="AE49:AJ54"/>
    <mergeCell ref="A57:J62"/>
    <mergeCell ref="AE57:AJ62"/>
    <mergeCell ref="A49:J54"/>
    <mergeCell ref="AE47:AJ48"/>
    <mergeCell ref="A47:J48"/>
    <mergeCell ref="K55:K56"/>
    <mergeCell ref="AK47:AL48"/>
    <mergeCell ref="AM47:BG48"/>
    <mergeCell ref="AK49:BG52"/>
    <mergeCell ref="AK53:AM54"/>
    <mergeCell ref="AN53:BG54"/>
    <mergeCell ref="AK55:AL56"/>
    <mergeCell ref="AM55:BG56"/>
    <mergeCell ref="AK57:BG60"/>
    <mergeCell ref="AK61:AM62"/>
    <mergeCell ref="AN61:BG62"/>
  </mergeCells>
  <phoneticPr fontId="1"/>
  <conditionalFormatting sqref="M36:AD37">
    <cfRule type="containsBlanks" dxfId="17" priority="21">
      <formula>LEN(TRIM(M36))=0</formula>
    </cfRule>
  </conditionalFormatting>
  <conditionalFormatting sqref="L47:AC62">
    <cfRule type="containsBlanks" dxfId="16" priority="19">
      <formula>LEN(TRIM(L47))=0</formula>
    </cfRule>
  </conditionalFormatting>
  <conditionalFormatting sqref="V14:AA15 AD14:AG15">
    <cfRule type="containsBlanks" dxfId="15" priority="18">
      <formula>LEN(TRIM(V14))=0</formula>
    </cfRule>
  </conditionalFormatting>
  <conditionalFormatting sqref="A80:J83 R80:Y83">
    <cfRule type="containsBlanks" dxfId="14" priority="17">
      <formula>LEN(TRIM(A80))=0</formula>
    </cfRule>
  </conditionalFormatting>
  <conditionalFormatting sqref="AM82:BG83">
    <cfRule type="containsBlanks" dxfId="13" priority="16">
      <formula>LEN(TRIM(AM82))=0</formula>
    </cfRule>
  </conditionalFormatting>
  <conditionalFormatting sqref="K80:Q83">
    <cfRule type="containsBlanks" dxfId="12" priority="15">
      <formula>LEN(TRIM(K80))=0</formula>
    </cfRule>
  </conditionalFormatting>
  <conditionalFormatting sqref="Z80:AD83">
    <cfRule type="containsBlanks" dxfId="11" priority="14">
      <formula>LEN(TRIM(Z80))=0</formula>
    </cfRule>
  </conditionalFormatting>
  <conditionalFormatting sqref="AL36:BF39">
    <cfRule type="containsBlanks" dxfId="10" priority="13">
      <formula>LEN(TRIM(AL36))=0</formula>
    </cfRule>
  </conditionalFormatting>
  <conditionalFormatting sqref="AL40:BF43">
    <cfRule type="containsBlanks" dxfId="9" priority="12">
      <formula>LEN(TRIM(AL40))=0</formula>
    </cfRule>
  </conditionalFormatting>
  <conditionalFormatting sqref="AX68:BE69">
    <cfRule type="containsBlanks" dxfId="8" priority="9">
      <formula>LEN(TRIM(AX68))=0</formula>
    </cfRule>
  </conditionalFormatting>
  <conditionalFormatting sqref="M38:AD43">
    <cfRule type="containsBlanks" dxfId="7" priority="8">
      <formula>LEN(TRIM(M38))=0</formula>
    </cfRule>
  </conditionalFormatting>
  <conditionalFormatting sqref="G87:U88">
    <cfRule type="containsBlanks" dxfId="6" priority="7">
      <formula>LEN(TRIM(G87))=0</formula>
    </cfRule>
  </conditionalFormatting>
  <conditionalFormatting sqref="AD87:AR88">
    <cfRule type="containsBlanks" dxfId="5" priority="6">
      <formula>LEN(TRIM(AD87))=0</formula>
    </cfRule>
  </conditionalFormatting>
  <conditionalFormatting sqref="AU4:AX5">
    <cfRule type="containsBlanks" dxfId="4" priority="5">
      <formula>LEN(TRIM(AU4))=0</formula>
    </cfRule>
  </conditionalFormatting>
  <conditionalFormatting sqref="BA4:BB5">
    <cfRule type="containsBlanks" dxfId="3" priority="4">
      <formula>LEN(TRIM(BA4))=0</formula>
    </cfRule>
  </conditionalFormatting>
  <conditionalFormatting sqref="BE4:BF5">
    <cfRule type="containsBlanks" dxfId="2" priority="3">
      <formula>LEN(TRIM(BE4))=0</formula>
    </cfRule>
  </conditionalFormatting>
  <conditionalFormatting sqref="AN78:BF79">
    <cfRule type="containsBlanks" dxfId="1" priority="22">
      <formula>LEN(TRIM(AN78))=0</formula>
    </cfRule>
  </conditionalFormatting>
  <conditionalFormatting sqref="AM80:BG81">
    <cfRule type="containsBlanks" dxfId="0" priority="1">
      <formula>LEN(TRIM(AM80))=0</formula>
    </cfRule>
  </conditionalFormatting>
  <dataValidations count="8">
    <dataValidation type="list" allowBlank="1" showInputMessage="1" showErrorMessage="1" sqref="AU4:AX5">
      <formula1>"令和６,令和７"</formula1>
    </dataValidation>
    <dataValidation type="list" allowBlank="1" showInputMessage="1" showErrorMessage="1" sqref="BA4:BB5">
      <formula1>"４,５,６,７,８,９,10,11,12,１,２,３"</formula1>
    </dataValidation>
    <dataValidation type="list" allowBlank="1" showInputMessage="1" showErrorMessage="1" sqref="BE4:BF5">
      <formula1>"１,２,３,４,５,６,７,８,９,10,11,12,13,14,15,16,17,18,19,20,21,22,23,24,25,26,27,28,29,30,31"</formula1>
    </dataValidation>
    <dataValidation type="list" allowBlank="1" showInputMessage="1" showErrorMessage="1" sqref="K80:Q83">
      <formula1>"銀行,信用金庫,農協,信用組合"</formula1>
    </dataValidation>
    <dataValidation type="list" allowBlank="1" showInputMessage="1" showErrorMessage="1" sqref="Z80:AD83">
      <formula1>"支店,出張所,営業部"</formula1>
    </dataValidation>
    <dataValidation type="list" allowBlank="1" showInputMessage="1" showErrorMessage="1" sqref="AN78 BG78">
      <formula1>"普通,当座"</formula1>
    </dataValidation>
    <dataValidation imeMode="fullKatakana" allowBlank="1" showInputMessage="1" showErrorMessage="1" sqref="M36:AD37 L47:AC48 L55:AC56 R80:Y83 AM82:BG83"/>
    <dataValidation imeMode="hiragana" allowBlank="1" showInputMessage="1" showErrorMessage="1" sqref="A80:J83 AL36:BF43 L49:AC54 L57:AC62"/>
  </dataValidations>
  <pageMargins left="0.39370078740157483" right="0.39370078740157483" top="0.39370078740157483" bottom="0.39370078740157483" header="0.31496062992125984" footer="0.31496062992125984"/>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J74"/>
  <sheetViews>
    <sheetView view="pageBreakPreview" zoomScale="90" zoomScaleNormal="100" zoomScaleSheetLayoutView="90" workbookViewId="0">
      <selection activeCell="I17" sqref="I17:S20"/>
    </sheetView>
  </sheetViews>
  <sheetFormatPr defaultRowHeight="12"/>
  <cols>
    <col min="1" max="84" width="1.625" style="1" customWidth="1"/>
    <col min="85" max="85" width="1.625" style="14" customWidth="1"/>
    <col min="86" max="103" width="1.625" style="1" customWidth="1"/>
    <col min="104" max="16384" width="9" style="1"/>
  </cols>
  <sheetData>
    <row r="1" spans="1:86" s="14" customFormat="1">
      <c r="AE1" s="473" t="s">
        <v>59</v>
      </c>
      <c r="AF1" s="473"/>
      <c r="AG1" s="473"/>
      <c r="AH1" s="473"/>
      <c r="AI1" s="473"/>
      <c r="AJ1" s="473"/>
      <c r="AK1" s="473"/>
      <c r="AL1" s="473"/>
      <c r="AM1" s="473"/>
      <c r="AN1" s="473"/>
      <c r="AO1" s="473"/>
      <c r="AP1" s="473"/>
      <c r="AQ1" s="473"/>
      <c r="AR1" s="473"/>
      <c r="AS1" s="473"/>
      <c r="AT1" s="473"/>
      <c r="AU1" s="473"/>
      <c r="AV1" s="473"/>
      <c r="AW1" s="473"/>
      <c r="AX1" s="473"/>
      <c r="AY1" s="473"/>
      <c r="AZ1" s="473"/>
      <c r="BA1" s="473"/>
      <c r="BB1" s="473"/>
      <c r="BC1" s="473"/>
    </row>
    <row r="2" spans="1:86" s="14" customFormat="1">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row>
    <row r="3" spans="1:86" s="14" customFormat="1">
      <c r="A3" s="12"/>
    </row>
    <row r="4" spans="1:86" s="14" customFormat="1">
      <c r="AE4" s="474" t="s">
        <v>60</v>
      </c>
      <c r="AF4" s="474"/>
      <c r="AG4" s="474"/>
      <c r="AH4" s="474"/>
      <c r="AI4" s="474"/>
      <c r="AJ4" s="474"/>
      <c r="AK4" s="474"/>
      <c r="AL4" s="474"/>
      <c r="AM4" s="474"/>
      <c r="AN4" s="474"/>
      <c r="AO4" s="474"/>
      <c r="AP4" s="474"/>
      <c r="AQ4" s="474"/>
      <c r="AR4" s="474"/>
      <c r="AS4" s="474"/>
      <c r="AT4" s="474"/>
      <c r="AU4" s="474"/>
      <c r="AV4" s="474"/>
      <c r="AW4" s="474"/>
      <c r="AX4" s="474"/>
      <c r="AY4" s="474"/>
      <c r="AZ4" s="474"/>
      <c r="BA4" s="474"/>
      <c r="BB4" s="474"/>
      <c r="BC4" s="474"/>
    </row>
    <row r="5" spans="1:86" s="14" customFormat="1">
      <c r="AE5" s="474"/>
      <c r="AF5" s="474"/>
      <c r="AG5" s="474"/>
      <c r="AH5" s="474"/>
      <c r="AI5" s="474"/>
      <c r="AJ5" s="474"/>
      <c r="AK5" s="474"/>
      <c r="AL5" s="474"/>
      <c r="AM5" s="474"/>
      <c r="AN5" s="474"/>
      <c r="AO5" s="474"/>
      <c r="AP5" s="474"/>
      <c r="AQ5" s="474"/>
      <c r="AR5" s="474"/>
      <c r="AS5" s="474"/>
      <c r="AT5" s="474"/>
      <c r="AU5" s="474"/>
      <c r="AV5" s="474"/>
      <c r="AW5" s="474"/>
      <c r="AX5" s="474"/>
      <c r="AY5" s="474"/>
      <c r="AZ5" s="474"/>
      <c r="BA5" s="474"/>
      <c r="BB5" s="474"/>
      <c r="BC5" s="474"/>
    </row>
    <row r="6" spans="1:86" s="14" customFormat="1" ht="13.5" customHeight="1">
      <c r="AG6" s="338" t="s">
        <v>36</v>
      </c>
      <c r="AH6" s="338"/>
      <c r="AI6" s="134"/>
      <c r="AJ6" s="134"/>
      <c r="AK6" s="338" t="str">
        <f>①園入力用名簿!B2</f>
        <v>令和７年</v>
      </c>
      <c r="AL6" s="320"/>
      <c r="AM6" s="320"/>
      <c r="AN6" s="320"/>
      <c r="AO6" s="320"/>
      <c r="AP6" s="320"/>
      <c r="AQ6" s="191">
        <f>VALUE(ASC(SUBSTITUTE($AR$6,"月分","")))</f>
        <v>4</v>
      </c>
      <c r="AR6" s="500" t="str">
        <f>①園入力用名簿!C2</f>
        <v>４月分</v>
      </c>
      <c r="AS6" s="338"/>
      <c r="AT6" s="338"/>
      <c r="AU6" s="338"/>
      <c r="AV6" s="338"/>
      <c r="AW6" s="338"/>
      <c r="AX6" s="134"/>
      <c r="AY6" s="134"/>
      <c r="AZ6" s="338" t="s">
        <v>37</v>
      </c>
      <c r="BA6" s="338"/>
      <c r="BL6" s="346" t="s">
        <v>99</v>
      </c>
      <c r="BM6" s="346"/>
      <c r="BN6" s="346"/>
      <c r="BO6" s="346"/>
      <c r="BP6" s="346"/>
      <c r="BQ6" s="346"/>
      <c r="BR6" s="499" t="str">
        <f>IF(②請求書!$L$49="","",②請求書!$L$49)</f>
        <v/>
      </c>
      <c r="BS6" s="499"/>
      <c r="BT6" s="499"/>
      <c r="BU6" s="499"/>
      <c r="BV6" s="499"/>
      <c r="BW6" s="499"/>
      <c r="BX6" s="499"/>
      <c r="BY6" s="499"/>
      <c r="BZ6" s="499"/>
      <c r="CA6" s="499"/>
      <c r="CB6" s="499"/>
      <c r="CC6" s="499"/>
      <c r="CD6" s="499"/>
      <c r="CE6" s="499"/>
      <c r="CF6" s="499"/>
    </row>
    <row r="7" spans="1:86" ht="9.75" customHeight="1">
      <c r="AC7" s="14"/>
      <c r="AD7" s="14"/>
      <c r="AG7" s="338"/>
      <c r="AH7" s="338"/>
      <c r="AI7" s="134"/>
      <c r="AJ7" s="134"/>
      <c r="AK7" s="320"/>
      <c r="AL7" s="320"/>
      <c r="AM7" s="320"/>
      <c r="AN7" s="320"/>
      <c r="AO7" s="320"/>
      <c r="AP7" s="320"/>
      <c r="AQ7" s="135"/>
      <c r="AR7" s="338"/>
      <c r="AS7" s="338"/>
      <c r="AT7" s="338"/>
      <c r="AU7" s="338"/>
      <c r="AV7" s="338"/>
      <c r="AW7" s="338"/>
      <c r="AX7" s="134"/>
      <c r="AY7" s="134"/>
      <c r="AZ7" s="338"/>
      <c r="BA7" s="338"/>
      <c r="BL7" s="346"/>
      <c r="BM7" s="346"/>
      <c r="BN7" s="346"/>
      <c r="BO7" s="346"/>
      <c r="BP7" s="346"/>
      <c r="BQ7" s="346"/>
      <c r="BR7" s="499"/>
      <c r="BS7" s="499"/>
      <c r="BT7" s="499"/>
      <c r="BU7" s="499"/>
      <c r="BV7" s="499"/>
      <c r="BW7" s="499"/>
      <c r="BX7" s="499"/>
      <c r="BY7" s="499"/>
      <c r="BZ7" s="499"/>
      <c r="CA7" s="499"/>
      <c r="CB7" s="499"/>
      <c r="CC7" s="499"/>
      <c r="CD7" s="499"/>
      <c r="CE7" s="499"/>
      <c r="CF7" s="499"/>
    </row>
    <row r="8" spans="1:86" ht="9.75" customHeight="1">
      <c r="A8" s="267" t="s">
        <v>58</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c r="BX8" s="267"/>
      <c r="BY8" s="267"/>
      <c r="BZ8" s="267"/>
      <c r="CA8" s="267"/>
      <c r="CB8" s="267"/>
      <c r="CC8" s="267"/>
      <c r="CD8" s="267"/>
      <c r="CE8" s="267"/>
      <c r="CF8" s="267"/>
      <c r="CG8" s="267"/>
      <c r="CH8" s="267"/>
    </row>
    <row r="9" spans="1:86" ht="9.75" customHeight="1" thickBot="1">
      <c r="A9" s="267"/>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67"/>
      <c r="BZ9" s="267"/>
      <c r="CA9" s="267"/>
      <c r="CB9" s="267"/>
      <c r="CC9" s="267"/>
      <c r="CD9" s="267"/>
      <c r="CE9" s="267"/>
      <c r="CF9" s="267"/>
      <c r="CG9" s="267"/>
      <c r="CH9" s="267"/>
    </row>
    <row r="10" spans="1:86" s="9" customFormat="1" ht="9.75" customHeight="1">
      <c r="A10" s="475" t="s">
        <v>66</v>
      </c>
      <c r="B10" s="492"/>
      <c r="C10" s="475" t="s">
        <v>39</v>
      </c>
      <c r="D10" s="476"/>
      <c r="E10" s="476"/>
      <c r="F10" s="476"/>
      <c r="G10" s="476"/>
      <c r="H10" s="477"/>
      <c r="I10" s="495" t="s">
        <v>40</v>
      </c>
      <c r="J10" s="476"/>
      <c r="K10" s="476"/>
      <c r="L10" s="476"/>
      <c r="M10" s="476"/>
      <c r="N10" s="476"/>
      <c r="O10" s="476"/>
      <c r="P10" s="476"/>
      <c r="Q10" s="476"/>
      <c r="R10" s="476"/>
      <c r="S10" s="492"/>
      <c r="T10" s="475" t="s">
        <v>42</v>
      </c>
      <c r="U10" s="476"/>
      <c r="V10" s="476"/>
      <c r="W10" s="476"/>
      <c r="X10" s="476"/>
      <c r="Y10" s="476"/>
      <c r="Z10" s="476"/>
      <c r="AA10" s="476"/>
      <c r="AB10" s="476"/>
      <c r="AC10" s="476"/>
      <c r="AD10" s="476"/>
      <c r="AE10" s="476"/>
      <c r="AF10" s="476"/>
      <c r="AG10" s="476"/>
      <c r="AH10" s="476"/>
      <c r="AI10" s="476"/>
      <c r="AJ10" s="476"/>
      <c r="AK10" s="476"/>
      <c r="AL10" s="476"/>
      <c r="AM10" s="476"/>
      <c r="AN10" s="476"/>
      <c r="AO10" s="476"/>
      <c r="AP10" s="476"/>
      <c r="AQ10" s="476"/>
      <c r="AR10" s="476"/>
      <c r="AS10" s="476"/>
      <c r="AT10" s="476"/>
      <c r="AU10" s="476"/>
      <c r="AV10" s="476"/>
      <c r="AW10" s="476"/>
      <c r="AX10" s="477"/>
      <c r="AY10" s="475" t="s">
        <v>45</v>
      </c>
      <c r="AZ10" s="476"/>
      <c r="BA10" s="476"/>
      <c r="BB10" s="476"/>
      <c r="BC10" s="476"/>
      <c r="BD10" s="476"/>
      <c r="BE10" s="476"/>
      <c r="BF10" s="476"/>
      <c r="BG10" s="476"/>
      <c r="BH10" s="477"/>
      <c r="BI10" s="490" t="s">
        <v>113</v>
      </c>
      <c r="BJ10" s="491"/>
      <c r="BK10" s="491"/>
      <c r="BL10" s="491"/>
      <c r="BM10" s="491"/>
      <c r="BN10" s="491"/>
      <c r="BO10" s="491"/>
      <c r="BP10" s="491"/>
      <c r="BQ10" s="491"/>
      <c r="BR10" s="491"/>
      <c r="BS10" s="491"/>
      <c r="BT10" s="491"/>
      <c r="BU10" s="501" t="s">
        <v>114</v>
      </c>
      <c r="BV10" s="491"/>
      <c r="BW10" s="491"/>
      <c r="BX10" s="491"/>
      <c r="BY10" s="491"/>
      <c r="BZ10" s="491"/>
      <c r="CA10" s="491"/>
      <c r="CB10" s="491"/>
      <c r="CC10" s="491"/>
      <c r="CD10" s="491"/>
      <c r="CE10" s="491"/>
      <c r="CF10" s="502"/>
      <c r="CG10" s="17"/>
    </row>
    <row r="11" spans="1:86" s="9" customFormat="1" ht="9.75" customHeight="1" thickBot="1">
      <c r="A11" s="478"/>
      <c r="B11" s="493"/>
      <c r="C11" s="478"/>
      <c r="D11" s="479"/>
      <c r="E11" s="479"/>
      <c r="F11" s="479"/>
      <c r="G11" s="479"/>
      <c r="H11" s="480"/>
      <c r="I11" s="496"/>
      <c r="J11" s="479"/>
      <c r="K11" s="479"/>
      <c r="L11" s="479"/>
      <c r="M11" s="479"/>
      <c r="N11" s="479"/>
      <c r="O11" s="479"/>
      <c r="P11" s="479"/>
      <c r="Q11" s="479"/>
      <c r="R11" s="479"/>
      <c r="S11" s="493"/>
      <c r="T11" s="487"/>
      <c r="U11" s="488"/>
      <c r="V11" s="488"/>
      <c r="W11" s="488"/>
      <c r="X11" s="488"/>
      <c r="Y11" s="488"/>
      <c r="Z11" s="488"/>
      <c r="AA11" s="488"/>
      <c r="AB11" s="488"/>
      <c r="AC11" s="488"/>
      <c r="AD11" s="488"/>
      <c r="AE11" s="488"/>
      <c r="AF11" s="488"/>
      <c r="AG11" s="488"/>
      <c r="AH11" s="488"/>
      <c r="AI11" s="488"/>
      <c r="AJ11" s="488"/>
      <c r="AK11" s="488"/>
      <c r="AL11" s="488"/>
      <c r="AM11" s="488"/>
      <c r="AN11" s="488"/>
      <c r="AO11" s="488"/>
      <c r="AP11" s="488"/>
      <c r="AQ11" s="488"/>
      <c r="AR11" s="488"/>
      <c r="AS11" s="488"/>
      <c r="AT11" s="488"/>
      <c r="AU11" s="488"/>
      <c r="AV11" s="488"/>
      <c r="AW11" s="488"/>
      <c r="AX11" s="489"/>
      <c r="AY11" s="478"/>
      <c r="AZ11" s="479"/>
      <c r="BA11" s="479"/>
      <c r="BB11" s="479"/>
      <c r="BC11" s="479"/>
      <c r="BD11" s="479"/>
      <c r="BE11" s="479"/>
      <c r="BF11" s="479"/>
      <c r="BG11" s="479"/>
      <c r="BH11" s="480"/>
      <c r="BI11" s="468"/>
      <c r="BJ11" s="467"/>
      <c r="BK11" s="467"/>
      <c r="BL11" s="467"/>
      <c r="BM11" s="467"/>
      <c r="BN11" s="467"/>
      <c r="BO11" s="467"/>
      <c r="BP11" s="467"/>
      <c r="BQ11" s="467"/>
      <c r="BR11" s="467"/>
      <c r="BS11" s="467"/>
      <c r="BT11" s="467"/>
      <c r="BU11" s="467"/>
      <c r="BV11" s="467"/>
      <c r="BW11" s="467"/>
      <c r="BX11" s="467"/>
      <c r="BY11" s="467"/>
      <c r="BZ11" s="467"/>
      <c r="CA11" s="467"/>
      <c r="CB11" s="467"/>
      <c r="CC11" s="467"/>
      <c r="CD11" s="467"/>
      <c r="CE11" s="467"/>
      <c r="CF11" s="469"/>
      <c r="CG11" s="17"/>
    </row>
    <row r="12" spans="1:86" s="9" customFormat="1" ht="9.75" customHeight="1">
      <c r="A12" s="478"/>
      <c r="B12" s="493"/>
      <c r="C12" s="478"/>
      <c r="D12" s="479"/>
      <c r="E12" s="479"/>
      <c r="F12" s="479"/>
      <c r="G12" s="479"/>
      <c r="H12" s="480"/>
      <c r="I12" s="496" t="s">
        <v>41</v>
      </c>
      <c r="J12" s="479"/>
      <c r="K12" s="479"/>
      <c r="L12" s="479"/>
      <c r="M12" s="479"/>
      <c r="N12" s="479"/>
      <c r="O12" s="479"/>
      <c r="P12" s="479"/>
      <c r="Q12" s="479"/>
      <c r="R12" s="479"/>
      <c r="S12" s="493"/>
      <c r="T12" s="498" t="s">
        <v>43</v>
      </c>
      <c r="U12" s="476"/>
      <c r="V12" s="476"/>
      <c r="W12" s="476"/>
      <c r="X12" s="476"/>
      <c r="Y12" s="476"/>
      <c r="Z12" s="476"/>
      <c r="AA12" s="476"/>
      <c r="AB12" s="476"/>
      <c r="AC12" s="476"/>
      <c r="AD12" s="476"/>
      <c r="AE12" s="476"/>
      <c r="AF12" s="476"/>
      <c r="AG12" s="477"/>
      <c r="AH12" s="498" t="s">
        <v>44</v>
      </c>
      <c r="AI12" s="476"/>
      <c r="AJ12" s="476"/>
      <c r="AK12" s="476"/>
      <c r="AL12" s="476"/>
      <c r="AM12" s="476"/>
      <c r="AN12" s="476"/>
      <c r="AO12" s="476"/>
      <c r="AP12" s="476"/>
      <c r="AQ12" s="476"/>
      <c r="AR12" s="476"/>
      <c r="AS12" s="476"/>
      <c r="AT12" s="476"/>
      <c r="AU12" s="476"/>
      <c r="AV12" s="476"/>
      <c r="AW12" s="476"/>
      <c r="AX12" s="477"/>
      <c r="AY12" s="481" t="s">
        <v>46</v>
      </c>
      <c r="AZ12" s="482"/>
      <c r="BA12" s="482"/>
      <c r="BB12" s="482"/>
      <c r="BC12" s="482"/>
      <c r="BD12" s="482"/>
      <c r="BE12" s="482"/>
      <c r="BF12" s="482"/>
      <c r="BG12" s="482"/>
      <c r="BH12" s="483"/>
      <c r="BI12" s="466" t="s">
        <v>47</v>
      </c>
      <c r="BJ12" s="467"/>
      <c r="BK12" s="467"/>
      <c r="BL12" s="467"/>
      <c r="BM12" s="467"/>
      <c r="BN12" s="467"/>
      <c r="BO12" s="467"/>
      <c r="BP12" s="467"/>
      <c r="BQ12" s="467"/>
      <c r="BR12" s="467"/>
      <c r="BS12" s="467"/>
      <c r="BT12" s="467"/>
      <c r="BU12" s="467" t="s">
        <v>115</v>
      </c>
      <c r="BV12" s="467"/>
      <c r="BW12" s="467"/>
      <c r="BX12" s="467"/>
      <c r="BY12" s="467"/>
      <c r="BZ12" s="467"/>
      <c r="CA12" s="467"/>
      <c r="CB12" s="467"/>
      <c r="CC12" s="467"/>
      <c r="CD12" s="467"/>
      <c r="CE12" s="467"/>
      <c r="CF12" s="469"/>
      <c r="CG12" s="17"/>
    </row>
    <row r="13" spans="1:86" s="9" customFormat="1" ht="9.75" customHeight="1">
      <c r="A13" s="478"/>
      <c r="B13" s="493"/>
      <c r="C13" s="478"/>
      <c r="D13" s="479"/>
      <c r="E13" s="479"/>
      <c r="F13" s="479"/>
      <c r="G13" s="479"/>
      <c r="H13" s="480"/>
      <c r="I13" s="496"/>
      <c r="J13" s="479"/>
      <c r="K13" s="479"/>
      <c r="L13" s="479"/>
      <c r="M13" s="479"/>
      <c r="N13" s="479"/>
      <c r="O13" s="479"/>
      <c r="P13" s="479"/>
      <c r="Q13" s="479"/>
      <c r="R13" s="479"/>
      <c r="S13" s="493"/>
      <c r="T13" s="478"/>
      <c r="U13" s="479"/>
      <c r="V13" s="479"/>
      <c r="W13" s="479"/>
      <c r="X13" s="479"/>
      <c r="Y13" s="479"/>
      <c r="Z13" s="479"/>
      <c r="AA13" s="479"/>
      <c r="AB13" s="479"/>
      <c r="AC13" s="479"/>
      <c r="AD13" s="479"/>
      <c r="AE13" s="479"/>
      <c r="AF13" s="479"/>
      <c r="AG13" s="480"/>
      <c r="AH13" s="478"/>
      <c r="AI13" s="479"/>
      <c r="AJ13" s="479"/>
      <c r="AK13" s="479"/>
      <c r="AL13" s="479"/>
      <c r="AM13" s="479"/>
      <c r="AN13" s="479"/>
      <c r="AO13" s="479"/>
      <c r="AP13" s="479"/>
      <c r="AQ13" s="479"/>
      <c r="AR13" s="479"/>
      <c r="AS13" s="479"/>
      <c r="AT13" s="479"/>
      <c r="AU13" s="479"/>
      <c r="AV13" s="479"/>
      <c r="AW13" s="479"/>
      <c r="AX13" s="480"/>
      <c r="AY13" s="481"/>
      <c r="AZ13" s="482"/>
      <c r="BA13" s="482"/>
      <c r="BB13" s="482"/>
      <c r="BC13" s="482"/>
      <c r="BD13" s="482"/>
      <c r="BE13" s="482"/>
      <c r="BF13" s="482"/>
      <c r="BG13" s="482"/>
      <c r="BH13" s="483"/>
      <c r="BI13" s="468"/>
      <c r="BJ13" s="467"/>
      <c r="BK13" s="467"/>
      <c r="BL13" s="467"/>
      <c r="BM13" s="467"/>
      <c r="BN13" s="467"/>
      <c r="BO13" s="467"/>
      <c r="BP13" s="467"/>
      <c r="BQ13" s="467"/>
      <c r="BR13" s="467"/>
      <c r="BS13" s="467"/>
      <c r="BT13" s="467"/>
      <c r="BU13" s="467"/>
      <c r="BV13" s="467"/>
      <c r="BW13" s="467"/>
      <c r="BX13" s="467"/>
      <c r="BY13" s="467"/>
      <c r="BZ13" s="467"/>
      <c r="CA13" s="467"/>
      <c r="CB13" s="467"/>
      <c r="CC13" s="467"/>
      <c r="CD13" s="467"/>
      <c r="CE13" s="467"/>
      <c r="CF13" s="469"/>
      <c r="CG13" s="17"/>
    </row>
    <row r="14" spans="1:86" s="9" customFormat="1" ht="9.75" customHeight="1" thickBot="1">
      <c r="A14" s="487"/>
      <c r="B14" s="494"/>
      <c r="C14" s="487"/>
      <c r="D14" s="488"/>
      <c r="E14" s="488"/>
      <c r="F14" s="488"/>
      <c r="G14" s="488"/>
      <c r="H14" s="489"/>
      <c r="I14" s="497"/>
      <c r="J14" s="488"/>
      <c r="K14" s="488"/>
      <c r="L14" s="488"/>
      <c r="M14" s="488"/>
      <c r="N14" s="488"/>
      <c r="O14" s="488"/>
      <c r="P14" s="488"/>
      <c r="Q14" s="488"/>
      <c r="R14" s="488"/>
      <c r="S14" s="494"/>
      <c r="T14" s="487"/>
      <c r="U14" s="488"/>
      <c r="V14" s="488"/>
      <c r="W14" s="488"/>
      <c r="X14" s="488"/>
      <c r="Y14" s="488"/>
      <c r="Z14" s="488"/>
      <c r="AA14" s="488"/>
      <c r="AB14" s="488"/>
      <c r="AC14" s="488"/>
      <c r="AD14" s="488"/>
      <c r="AE14" s="488"/>
      <c r="AF14" s="488"/>
      <c r="AG14" s="489"/>
      <c r="AH14" s="487"/>
      <c r="AI14" s="488"/>
      <c r="AJ14" s="488"/>
      <c r="AK14" s="488"/>
      <c r="AL14" s="488"/>
      <c r="AM14" s="488"/>
      <c r="AN14" s="488"/>
      <c r="AO14" s="488"/>
      <c r="AP14" s="488"/>
      <c r="AQ14" s="488"/>
      <c r="AR14" s="488"/>
      <c r="AS14" s="488"/>
      <c r="AT14" s="488"/>
      <c r="AU14" s="488"/>
      <c r="AV14" s="488"/>
      <c r="AW14" s="488"/>
      <c r="AX14" s="489"/>
      <c r="AY14" s="484"/>
      <c r="AZ14" s="485"/>
      <c r="BA14" s="485"/>
      <c r="BB14" s="485"/>
      <c r="BC14" s="485"/>
      <c r="BD14" s="485"/>
      <c r="BE14" s="485"/>
      <c r="BF14" s="485"/>
      <c r="BG14" s="485"/>
      <c r="BH14" s="486"/>
      <c r="BI14" s="470" t="s">
        <v>116</v>
      </c>
      <c r="BJ14" s="471"/>
      <c r="BK14" s="471"/>
      <c r="BL14" s="471"/>
      <c r="BM14" s="471"/>
      <c r="BN14" s="471"/>
      <c r="BO14" s="471"/>
      <c r="BP14" s="471"/>
      <c r="BQ14" s="471"/>
      <c r="BR14" s="471"/>
      <c r="BS14" s="471"/>
      <c r="BT14" s="471"/>
      <c r="BU14" s="471"/>
      <c r="BV14" s="471"/>
      <c r="BW14" s="471"/>
      <c r="BX14" s="471"/>
      <c r="BY14" s="471"/>
      <c r="BZ14" s="471"/>
      <c r="CA14" s="471"/>
      <c r="CB14" s="471"/>
      <c r="CC14" s="471"/>
      <c r="CD14" s="471"/>
      <c r="CE14" s="471"/>
      <c r="CF14" s="472"/>
      <c r="CG14" s="17"/>
    </row>
    <row r="15" spans="1:86" ht="9.75" customHeight="1">
      <c r="A15" s="452">
        <v>1</v>
      </c>
      <c r="B15" s="286"/>
      <c r="C15" s="453" t="str">
        <f>IF(VLOOKUP(A15,①園入力用名簿!A:AF,4,0)="","",VLOOKUP(A15,①園入力用名簿!A:AF,4,0))</f>
        <v/>
      </c>
      <c r="D15" s="285"/>
      <c r="E15" s="285"/>
      <c r="F15" s="285"/>
      <c r="G15" s="285"/>
      <c r="H15" s="286"/>
      <c r="I15" s="452" t="str">
        <f>IF(VLOOKUP(A15,①園入力用名簿!A:AF,3,0)="","",VLOOKUP(A15,①園入力用名簿!A:AF,3,0))</f>
        <v/>
      </c>
      <c r="J15" s="285"/>
      <c r="K15" s="285"/>
      <c r="L15" s="285"/>
      <c r="M15" s="285"/>
      <c r="N15" s="285"/>
      <c r="O15" s="285"/>
      <c r="P15" s="285"/>
      <c r="Q15" s="285"/>
      <c r="R15" s="285"/>
      <c r="S15" s="286"/>
      <c r="T15" s="452" t="str">
        <f>IF(VLOOKUP(A15,①園入力用名簿!A:AF,21,0)="","",IF(VLOOKUP(A15,①園入力用名簿!A:AF,21,0)="月額契約","■ 月額契約","□ 月額契約"))</f>
        <v/>
      </c>
      <c r="U15" s="285"/>
      <c r="V15" s="285"/>
      <c r="W15" s="285"/>
      <c r="X15" s="285"/>
      <c r="Y15" s="285"/>
      <c r="Z15" s="454" t="str">
        <f>IF(VLOOKUP(A15,①園入力用名簿!A:AF,23,0)="","",VLOOKUP(A15,①園入力用名簿!A:AF,23,0))</f>
        <v/>
      </c>
      <c r="AA15" s="454"/>
      <c r="AB15" s="454"/>
      <c r="AC15" s="454"/>
      <c r="AD15" s="454"/>
      <c r="AE15" s="454"/>
      <c r="AF15" s="285" t="s">
        <v>26</v>
      </c>
      <c r="AG15" s="286"/>
      <c r="AH15" s="455" t="s">
        <v>48</v>
      </c>
      <c r="AI15" s="456"/>
      <c r="AJ15" s="456"/>
      <c r="AK15" s="456"/>
      <c r="AL15" s="24"/>
      <c r="AM15" s="457" t="str">
        <f>IF(VLOOKUP(A15,①園入力用名簿!A:W,7,0)="","",①園入力用名簿!H14&amp;①園入力用名簿!I14&amp;①園入力用名簿!J14&amp;①園入力用名簿!K14&amp;①園入力用名簿!L14&amp;①園入力用名簿!M14&amp;①園入力用名簿!N14)</f>
        <v/>
      </c>
      <c r="AN15" s="457"/>
      <c r="AO15" s="457"/>
      <c r="AP15" s="457"/>
      <c r="AQ15" s="457"/>
      <c r="AR15" s="457"/>
      <c r="AS15" s="457"/>
      <c r="AT15" s="457"/>
      <c r="AU15" s="457"/>
      <c r="AV15" s="457"/>
      <c r="AW15" s="457"/>
      <c r="AX15" s="25"/>
      <c r="AY15" s="452" t="str">
        <f>IF(OR(VLOOKUP(A15,①園入力用名簿!A:AF,28,0)&lt;&gt;$AP$6,VLOOKUP(A15,①園入力用名簿!A:AF,24,0)=""),"■ なし","□ なし")</f>
        <v>■ なし</v>
      </c>
      <c r="AZ15" s="285"/>
      <c r="BA15" s="285"/>
      <c r="BB15" s="285"/>
      <c r="BC15" s="5"/>
      <c r="BD15" s="11"/>
      <c r="BE15" s="5"/>
      <c r="BF15" s="5"/>
      <c r="BG15" s="5"/>
      <c r="BH15" s="7"/>
      <c r="BI15" s="432" t="str">
        <f>IF(VLOOKUP(A15,①園入力用名簿!A:AO,33,0)="","",VLOOKUP(A15,①園入力用名簿!A:AO,33,0))</f>
        <v/>
      </c>
      <c r="BJ15" s="433"/>
      <c r="BK15" s="433"/>
      <c r="BL15" s="433"/>
      <c r="BM15" s="433"/>
      <c r="BN15" s="433"/>
      <c r="BO15" s="433"/>
      <c r="BP15" s="433"/>
      <c r="BQ15" s="433"/>
      <c r="BR15" s="433"/>
      <c r="BS15" s="247" t="s">
        <v>52</v>
      </c>
      <c r="BT15" s="436"/>
      <c r="BU15" s="439" t="str">
        <f>IF(VLOOKUP(A15,①園入力用名簿!A:AO,34,0)="","",VLOOKUP(A15,①園入力用名簿!A:AO,34,0))</f>
        <v/>
      </c>
      <c r="BV15" s="433"/>
      <c r="BW15" s="433"/>
      <c r="BX15" s="433"/>
      <c r="BY15" s="433"/>
      <c r="BZ15" s="433"/>
      <c r="CA15" s="433"/>
      <c r="CB15" s="433"/>
      <c r="CC15" s="433"/>
      <c r="CD15" s="433"/>
      <c r="CE15" s="247" t="s">
        <v>52</v>
      </c>
      <c r="CF15" s="441"/>
      <c r="CG15" s="17"/>
    </row>
    <row r="16" spans="1:86" ht="9.75" customHeight="1">
      <c r="A16" s="426"/>
      <c r="B16" s="288"/>
      <c r="C16" s="426"/>
      <c r="D16" s="287"/>
      <c r="E16" s="287"/>
      <c r="F16" s="287"/>
      <c r="G16" s="287"/>
      <c r="H16" s="288"/>
      <c r="I16" s="426"/>
      <c r="J16" s="287"/>
      <c r="K16" s="287"/>
      <c r="L16" s="287"/>
      <c r="M16" s="287"/>
      <c r="N16" s="287"/>
      <c r="O16" s="287"/>
      <c r="P16" s="287"/>
      <c r="Q16" s="287"/>
      <c r="R16" s="287"/>
      <c r="S16" s="288"/>
      <c r="T16" s="426"/>
      <c r="U16" s="287"/>
      <c r="V16" s="287"/>
      <c r="W16" s="287"/>
      <c r="X16" s="287"/>
      <c r="Y16" s="287"/>
      <c r="Z16" s="428"/>
      <c r="AA16" s="428"/>
      <c r="AB16" s="428"/>
      <c r="AC16" s="428"/>
      <c r="AD16" s="428"/>
      <c r="AE16" s="428"/>
      <c r="AF16" s="287"/>
      <c r="AG16" s="288"/>
      <c r="AH16" s="430"/>
      <c r="AI16" s="431"/>
      <c r="AJ16" s="431"/>
      <c r="AK16" s="431"/>
      <c r="AL16" s="26"/>
      <c r="AM16" s="458"/>
      <c r="AN16" s="458"/>
      <c r="AO16" s="458"/>
      <c r="AP16" s="458"/>
      <c r="AQ16" s="458"/>
      <c r="AR16" s="458"/>
      <c r="AS16" s="458"/>
      <c r="AT16" s="458"/>
      <c r="AU16" s="458"/>
      <c r="AV16" s="458"/>
      <c r="AW16" s="458"/>
      <c r="AX16" s="27"/>
      <c r="AY16" s="426"/>
      <c r="AZ16" s="287"/>
      <c r="BA16" s="287"/>
      <c r="BB16" s="287"/>
      <c r="BC16" s="6"/>
      <c r="BD16" s="10"/>
      <c r="BE16" s="6"/>
      <c r="BF16" s="6"/>
      <c r="BG16" s="6"/>
      <c r="BH16" s="8"/>
      <c r="BI16" s="434"/>
      <c r="BJ16" s="435"/>
      <c r="BK16" s="435"/>
      <c r="BL16" s="435"/>
      <c r="BM16" s="435"/>
      <c r="BN16" s="435"/>
      <c r="BO16" s="435"/>
      <c r="BP16" s="435"/>
      <c r="BQ16" s="435"/>
      <c r="BR16" s="435"/>
      <c r="BS16" s="437"/>
      <c r="BT16" s="438"/>
      <c r="BU16" s="440"/>
      <c r="BV16" s="435"/>
      <c r="BW16" s="435"/>
      <c r="BX16" s="435"/>
      <c r="BY16" s="435"/>
      <c r="BZ16" s="435"/>
      <c r="CA16" s="435"/>
      <c r="CB16" s="435"/>
      <c r="CC16" s="435"/>
      <c r="CD16" s="435"/>
      <c r="CE16" s="437"/>
      <c r="CF16" s="442"/>
      <c r="CG16" s="17"/>
    </row>
    <row r="17" spans="1:88" ht="9.75" customHeight="1">
      <c r="A17" s="426"/>
      <c r="B17" s="288"/>
      <c r="C17" s="426"/>
      <c r="D17" s="287"/>
      <c r="E17" s="287"/>
      <c r="F17" s="287"/>
      <c r="G17" s="287"/>
      <c r="H17" s="288"/>
      <c r="I17" s="426" t="str">
        <f>IF(VLOOKUP(A15,①園入力用名簿!A:AF,2,0)="","",VLOOKUP(A15,①園入力用名簿!A:AF,2,0))</f>
        <v/>
      </c>
      <c r="J17" s="287"/>
      <c r="K17" s="287"/>
      <c r="L17" s="287"/>
      <c r="M17" s="287"/>
      <c r="N17" s="287"/>
      <c r="O17" s="287"/>
      <c r="P17" s="287"/>
      <c r="Q17" s="287"/>
      <c r="R17" s="287"/>
      <c r="S17" s="288"/>
      <c r="T17" s="426" t="str">
        <f>IF(VLOOKUP(A15,①園入力用名簿!A:AF,21,0)="","",IF(VLOOKUP(A15,①園入力用名簿!A:AF,21,0)="日額契約","■ 日額契約","□ 日額契約"))</f>
        <v/>
      </c>
      <c r="U17" s="287"/>
      <c r="V17" s="287"/>
      <c r="W17" s="287"/>
      <c r="X17" s="287"/>
      <c r="Y17" s="287"/>
      <c r="Z17" s="428"/>
      <c r="AA17" s="428"/>
      <c r="AB17" s="428"/>
      <c r="AC17" s="428"/>
      <c r="AD17" s="428"/>
      <c r="AE17" s="428"/>
      <c r="AF17" s="287"/>
      <c r="AG17" s="288"/>
      <c r="AH17" s="430" t="s">
        <v>49</v>
      </c>
      <c r="AI17" s="431"/>
      <c r="AJ17" s="431"/>
      <c r="AK17" s="431"/>
      <c r="AL17" s="6"/>
      <c r="AM17" s="287" t="str">
        <f>IF(VLOOKUP(A15,①園入力用名簿!A:W,22,0)="","□ 有","■ 有")</f>
        <v>□ 有</v>
      </c>
      <c r="AN17" s="287"/>
      <c r="AO17" s="287"/>
      <c r="AP17" s="287"/>
      <c r="AQ17" s="6"/>
      <c r="AR17" s="287" t="str">
        <f>IF(VLOOKUP(A15,①園入力用名簿!A:W,22,0)="","■ 無","□ 無")</f>
        <v>■ 無</v>
      </c>
      <c r="AS17" s="287"/>
      <c r="AT17" s="287"/>
      <c r="AU17" s="287"/>
      <c r="AV17" s="287" t="s">
        <v>54</v>
      </c>
      <c r="AW17" s="287"/>
      <c r="AX17" s="8"/>
      <c r="AY17" s="426" t="str">
        <f>IF(AND(VLOOKUP(A15,①園入力用名簿!A:AF,28,0)=$AP$6,VLOOKUP(A15,①園入力用名簿!A:AF,24,0)="入園"),"■ 入園","□ 入園")</f>
        <v>□ 入園</v>
      </c>
      <c r="AZ17" s="287"/>
      <c r="BA17" s="287"/>
      <c r="BB17" s="287"/>
      <c r="BC17" s="287" t="s">
        <v>55</v>
      </c>
      <c r="BD17" s="287" t="str">
        <f>IF(AND(VLOOKUP(A15,①園入力用名簿!A:AF,24,0)="入園",VLOOKUP(A15,①園入力用名簿!A:AF,28,0)=$AQ$6),VLOOKUP(A15,①園入力用名簿!A:AF,30,0),"")</f>
        <v/>
      </c>
      <c r="BE17" s="287"/>
      <c r="BF17" s="287" t="s">
        <v>57</v>
      </c>
      <c r="BG17" s="287"/>
      <c r="BH17" s="288" t="s">
        <v>56</v>
      </c>
      <c r="BI17" s="443" t="str">
        <f>IF(VLOOKUP(A15,①園入力用名簿!A:AF,2,0)="","",BI15+BU15)</f>
        <v/>
      </c>
      <c r="BJ17" s="444"/>
      <c r="BK17" s="444"/>
      <c r="BL17" s="444"/>
      <c r="BM17" s="444"/>
      <c r="BN17" s="444"/>
      <c r="BO17" s="444"/>
      <c r="BP17" s="444"/>
      <c r="BQ17" s="444"/>
      <c r="BR17" s="444"/>
      <c r="BS17" s="447" t="s">
        <v>52</v>
      </c>
      <c r="BT17" s="448"/>
      <c r="BU17" s="449" t="str">
        <f>IF(VLOOKUP(A15,①園入力用名簿!A:AO,35,0)="","",VLOOKUP(A15,①園入力用名簿!A:AO,35,0))</f>
        <v/>
      </c>
      <c r="BV17" s="450"/>
      <c r="BW17" s="450"/>
      <c r="BX17" s="450"/>
      <c r="BY17" s="450"/>
      <c r="BZ17" s="450"/>
      <c r="CA17" s="450"/>
      <c r="CB17" s="450"/>
      <c r="CC17" s="450"/>
      <c r="CD17" s="450"/>
      <c r="CE17" s="249" t="s">
        <v>52</v>
      </c>
      <c r="CF17" s="451"/>
      <c r="CG17" s="19"/>
      <c r="CH17" s="18"/>
      <c r="CI17" s="14"/>
      <c r="CJ17" s="14"/>
    </row>
    <row r="18" spans="1:88" ht="9.75" customHeight="1">
      <c r="A18" s="426"/>
      <c r="B18" s="288"/>
      <c r="C18" s="426"/>
      <c r="D18" s="287"/>
      <c r="E18" s="287"/>
      <c r="F18" s="287"/>
      <c r="G18" s="287"/>
      <c r="H18" s="288"/>
      <c r="I18" s="426"/>
      <c r="J18" s="287"/>
      <c r="K18" s="287"/>
      <c r="L18" s="287"/>
      <c r="M18" s="287"/>
      <c r="N18" s="287"/>
      <c r="O18" s="287"/>
      <c r="P18" s="287"/>
      <c r="Q18" s="287"/>
      <c r="R18" s="287"/>
      <c r="S18" s="288"/>
      <c r="T18" s="426"/>
      <c r="U18" s="287"/>
      <c r="V18" s="287"/>
      <c r="W18" s="287"/>
      <c r="X18" s="287"/>
      <c r="Y18" s="287"/>
      <c r="Z18" s="428"/>
      <c r="AA18" s="428"/>
      <c r="AB18" s="428"/>
      <c r="AC18" s="428"/>
      <c r="AD18" s="428"/>
      <c r="AE18" s="428"/>
      <c r="AF18" s="287"/>
      <c r="AG18" s="288"/>
      <c r="AH18" s="430"/>
      <c r="AI18" s="431"/>
      <c r="AJ18" s="431"/>
      <c r="AK18" s="431"/>
      <c r="AL18" s="6"/>
      <c r="AM18" s="287"/>
      <c r="AN18" s="287"/>
      <c r="AO18" s="287"/>
      <c r="AP18" s="287"/>
      <c r="AQ18" s="6"/>
      <c r="AR18" s="287"/>
      <c r="AS18" s="287"/>
      <c r="AT18" s="287"/>
      <c r="AU18" s="287"/>
      <c r="AV18" s="287"/>
      <c r="AW18" s="287"/>
      <c r="AX18" s="8"/>
      <c r="AY18" s="426"/>
      <c r="AZ18" s="287"/>
      <c r="BA18" s="287"/>
      <c r="BB18" s="287"/>
      <c r="BC18" s="287"/>
      <c r="BD18" s="287"/>
      <c r="BE18" s="287"/>
      <c r="BF18" s="287"/>
      <c r="BG18" s="287"/>
      <c r="BH18" s="288"/>
      <c r="BI18" s="445"/>
      <c r="BJ18" s="446"/>
      <c r="BK18" s="446"/>
      <c r="BL18" s="446"/>
      <c r="BM18" s="446"/>
      <c r="BN18" s="446"/>
      <c r="BO18" s="446"/>
      <c r="BP18" s="446"/>
      <c r="BQ18" s="446"/>
      <c r="BR18" s="446"/>
      <c r="BS18" s="437"/>
      <c r="BT18" s="438"/>
      <c r="BU18" s="440"/>
      <c r="BV18" s="435"/>
      <c r="BW18" s="435"/>
      <c r="BX18" s="435"/>
      <c r="BY18" s="435"/>
      <c r="BZ18" s="435"/>
      <c r="CA18" s="435"/>
      <c r="CB18" s="435"/>
      <c r="CC18" s="435"/>
      <c r="CD18" s="435"/>
      <c r="CE18" s="437"/>
      <c r="CF18" s="442"/>
      <c r="CG18" s="17"/>
    </row>
    <row r="19" spans="1:88" ht="9.75" customHeight="1">
      <c r="A19" s="426"/>
      <c r="B19" s="288"/>
      <c r="C19" s="426"/>
      <c r="D19" s="287"/>
      <c r="E19" s="287"/>
      <c r="F19" s="287"/>
      <c r="G19" s="287"/>
      <c r="H19" s="288"/>
      <c r="I19" s="426"/>
      <c r="J19" s="287"/>
      <c r="K19" s="287"/>
      <c r="L19" s="287"/>
      <c r="M19" s="287"/>
      <c r="N19" s="287"/>
      <c r="O19" s="287"/>
      <c r="P19" s="287"/>
      <c r="Q19" s="287"/>
      <c r="R19" s="287"/>
      <c r="S19" s="288"/>
      <c r="T19" s="426" t="str">
        <f>IF(VLOOKUP(A15,①園入力用名簿!A:AF,21,0)="","",IF(VLOOKUP(A15,①園入力用名簿!A:AF,21,0)="時間契約","■ 時間契約","□ 時間契約"))</f>
        <v/>
      </c>
      <c r="U19" s="287"/>
      <c r="V19" s="287"/>
      <c r="W19" s="287"/>
      <c r="X19" s="287"/>
      <c r="Y19" s="287"/>
      <c r="Z19" s="428"/>
      <c r="AA19" s="428"/>
      <c r="AB19" s="428"/>
      <c r="AC19" s="428"/>
      <c r="AD19" s="428"/>
      <c r="AE19" s="428"/>
      <c r="AF19" s="287"/>
      <c r="AG19" s="288"/>
      <c r="AH19" s="426" t="s">
        <v>50</v>
      </c>
      <c r="AI19" s="287" t="s">
        <v>51</v>
      </c>
      <c r="AJ19" s="287"/>
      <c r="AK19" s="287"/>
      <c r="AL19" s="287"/>
      <c r="AM19" s="287"/>
      <c r="AN19" s="428" t="str">
        <f>IF(VLOOKUP(A15,①園入力用名簿!A:W,22,0)="","",VLOOKUP(A15,①園入力用名簿!A:W,22,0))</f>
        <v/>
      </c>
      <c r="AO19" s="428"/>
      <c r="AP19" s="428"/>
      <c r="AQ19" s="428"/>
      <c r="AR19" s="428"/>
      <c r="AS19" s="428"/>
      <c r="AT19" s="428"/>
      <c r="AU19" s="428"/>
      <c r="AV19" s="287" t="s">
        <v>52</v>
      </c>
      <c r="AW19" s="287"/>
      <c r="AX19" s="288" t="s">
        <v>53</v>
      </c>
      <c r="AY19" s="426" t="str">
        <f>IF(AND(VLOOKUP(A15,①園入力用名簿!A:AF,28,0)=$AP$6,VLOOKUP(A15,①園入力用名簿!A:AF,24,0)="退園"),"■ 退園","□ 退園")</f>
        <v>□ 退園</v>
      </c>
      <c r="AZ19" s="287"/>
      <c r="BA19" s="287"/>
      <c r="BB19" s="287"/>
      <c r="BC19" s="287" t="s">
        <v>55</v>
      </c>
      <c r="BD19" s="287" t="str">
        <f>IF(AND(VLOOKUP(A15,①園入力用名簿!A:AF,24,0)="退園",VLOOKUP(A15,①園入力用名簿!A:AF,28,0)=$AQ$6),VLOOKUP(A15,①園入力用名簿!A:AF,30,0),"")</f>
        <v/>
      </c>
      <c r="BE19" s="287"/>
      <c r="BF19" s="287" t="s">
        <v>57</v>
      </c>
      <c r="BG19" s="287"/>
      <c r="BH19" s="288" t="s">
        <v>56</v>
      </c>
      <c r="BI19" s="459" t="str">
        <f>IF(VLOOKUP(A15,①園入力用名簿!A:AF,2,0)="","",VLOOKUP(A15,①園入力用名簿!A:AO,41,0))</f>
        <v/>
      </c>
      <c r="BJ19" s="460"/>
      <c r="BK19" s="460"/>
      <c r="BL19" s="460"/>
      <c r="BM19" s="460"/>
      <c r="BN19" s="460"/>
      <c r="BO19" s="460"/>
      <c r="BP19" s="460"/>
      <c r="BQ19" s="460"/>
      <c r="BR19" s="460"/>
      <c r="BS19" s="460"/>
      <c r="BT19" s="460"/>
      <c r="BU19" s="460"/>
      <c r="BV19" s="460"/>
      <c r="BW19" s="460"/>
      <c r="BX19" s="460"/>
      <c r="BY19" s="460"/>
      <c r="BZ19" s="460"/>
      <c r="CA19" s="460"/>
      <c r="CB19" s="460"/>
      <c r="CC19" s="460"/>
      <c r="CD19" s="460"/>
      <c r="CE19" s="447" t="s">
        <v>52</v>
      </c>
      <c r="CF19" s="463"/>
      <c r="CG19" s="17"/>
    </row>
    <row r="20" spans="1:88" ht="9.75" customHeight="1" thickBot="1">
      <c r="A20" s="427"/>
      <c r="B20" s="290"/>
      <c r="C20" s="427"/>
      <c r="D20" s="289"/>
      <c r="E20" s="289"/>
      <c r="F20" s="289"/>
      <c r="G20" s="289"/>
      <c r="H20" s="290"/>
      <c r="I20" s="427"/>
      <c r="J20" s="289"/>
      <c r="K20" s="289"/>
      <c r="L20" s="289"/>
      <c r="M20" s="289"/>
      <c r="N20" s="289"/>
      <c r="O20" s="289"/>
      <c r="P20" s="289"/>
      <c r="Q20" s="289"/>
      <c r="R20" s="289"/>
      <c r="S20" s="290"/>
      <c r="T20" s="427"/>
      <c r="U20" s="289"/>
      <c r="V20" s="289"/>
      <c r="W20" s="289"/>
      <c r="X20" s="289"/>
      <c r="Y20" s="289"/>
      <c r="Z20" s="429"/>
      <c r="AA20" s="429"/>
      <c r="AB20" s="429"/>
      <c r="AC20" s="429"/>
      <c r="AD20" s="429"/>
      <c r="AE20" s="429"/>
      <c r="AF20" s="289"/>
      <c r="AG20" s="290"/>
      <c r="AH20" s="427"/>
      <c r="AI20" s="289"/>
      <c r="AJ20" s="289"/>
      <c r="AK20" s="289"/>
      <c r="AL20" s="289"/>
      <c r="AM20" s="289"/>
      <c r="AN20" s="429"/>
      <c r="AO20" s="429"/>
      <c r="AP20" s="429"/>
      <c r="AQ20" s="429"/>
      <c r="AR20" s="429"/>
      <c r="AS20" s="429"/>
      <c r="AT20" s="429"/>
      <c r="AU20" s="429"/>
      <c r="AV20" s="289"/>
      <c r="AW20" s="289"/>
      <c r="AX20" s="290"/>
      <c r="AY20" s="427"/>
      <c r="AZ20" s="289"/>
      <c r="BA20" s="289"/>
      <c r="BB20" s="289"/>
      <c r="BC20" s="289"/>
      <c r="BD20" s="289"/>
      <c r="BE20" s="289"/>
      <c r="BF20" s="289"/>
      <c r="BG20" s="289"/>
      <c r="BH20" s="290"/>
      <c r="BI20" s="461"/>
      <c r="BJ20" s="462"/>
      <c r="BK20" s="462"/>
      <c r="BL20" s="462"/>
      <c r="BM20" s="462"/>
      <c r="BN20" s="462"/>
      <c r="BO20" s="462"/>
      <c r="BP20" s="462"/>
      <c r="BQ20" s="462"/>
      <c r="BR20" s="462"/>
      <c r="BS20" s="462"/>
      <c r="BT20" s="462"/>
      <c r="BU20" s="462"/>
      <c r="BV20" s="462"/>
      <c r="BW20" s="462"/>
      <c r="BX20" s="462"/>
      <c r="BY20" s="462"/>
      <c r="BZ20" s="462"/>
      <c r="CA20" s="462"/>
      <c r="CB20" s="462"/>
      <c r="CC20" s="462"/>
      <c r="CD20" s="462"/>
      <c r="CE20" s="464"/>
      <c r="CF20" s="465"/>
      <c r="CG20" s="17"/>
    </row>
    <row r="21" spans="1:88" s="14" customFormat="1" ht="9.75" customHeight="1">
      <c r="A21" s="452">
        <v>2</v>
      </c>
      <c r="B21" s="286"/>
      <c r="C21" s="453" t="str">
        <f>IF(VLOOKUP(A21,①園入力用名簿!A:AF,4,0)="","",VLOOKUP(A21,①園入力用名簿!A:AF,4,0))</f>
        <v/>
      </c>
      <c r="D21" s="285"/>
      <c r="E21" s="285"/>
      <c r="F21" s="285"/>
      <c r="G21" s="285"/>
      <c r="H21" s="286"/>
      <c r="I21" s="452" t="str">
        <f>IF(VLOOKUP(A21,①園入力用名簿!A:AF,3,0)="","",VLOOKUP(A21,①園入力用名簿!A:AF,3,0))</f>
        <v/>
      </c>
      <c r="J21" s="285"/>
      <c r="K21" s="285"/>
      <c r="L21" s="285"/>
      <c r="M21" s="285"/>
      <c r="N21" s="285"/>
      <c r="O21" s="285"/>
      <c r="P21" s="285"/>
      <c r="Q21" s="285"/>
      <c r="R21" s="285"/>
      <c r="S21" s="286"/>
      <c r="T21" s="452" t="str">
        <f>IF(VLOOKUP(A21,①園入力用名簿!A:AF,21,0)="","",IF(VLOOKUP(A21,①園入力用名簿!A:AF,21,0)="月額契約","■ 月額契約","□ 月額契約"))</f>
        <v/>
      </c>
      <c r="U21" s="285"/>
      <c r="V21" s="285"/>
      <c r="W21" s="285"/>
      <c r="X21" s="285"/>
      <c r="Y21" s="285"/>
      <c r="Z21" s="454" t="str">
        <f>IF(VLOOKUP(A21,①園入力用名簿!A:AF,23,0)="","",VLOOKUP(A21,①園入力用名簿!A:AF,23,0))</f>
        <v/>
      </c>
      <c r="AA21" s="454"/>
      <c r="AB21" s="454"/>
      <c r="AC21" s="454"/>
      <c r="AD21" s="454"/>
      <c r="AE21" s="454"/>
      <c r="AF21" s="285" t="s">
        <v>26</v>
      </c>
      <c r="AG21" s="286"/>
      <c r="AH21" s="455" t="s">
        <v>48</v>
      </c>
      <c r="AI21" s="456"/>
      <c r="AJ21" s="456"/>
      <c r="AK21" s="456"/>
      <c r="AL21" s="48"/>
      <c r="AM21" s="457" t="str">
        <f>IF(VLOOKUP(A21,①園入力用名簿!A:W,7,0)="","",①園入力用名簿!H15&amp;①園入力用名簿!I15&amp;①園入力用名簿!J15&amp;①園入力用名簿!K15&amp;①園入力用名簿!L15&amp;①園入力用名簿!M15&amp;①園入力用名簿!N15)</f>
        <v/>
      </c>
      <c r="AN21" s="457"/>
      <c r="AO21" s="457"/>
      <c r="AP21" s="457"/>
      <c r="AQ21" s="457"/>
      <c r="AR21" s="457"/>
      <c r="AS21" s="457"/>
      <c r="AT21" s="457"/>
      <c r="AU21" s="457"/>
      <c r="AV21" s="457"/>
      <c r="AW21" s="457"/>
      <c r="AX21" s="25"/>
      <c r="AY21" s="452" t="str">
        <f>IF(OR(VLOOKUP(A21,①園入力用名簿!A:AF,28,0)&lt;&gt;$AP$6,VLOOKUP(A21,①園入力用名簿!A:AF,24,0)=""),"■ なし","□ なし")</f>
        <v>■ なし</v>
      </c>
      <c r="AZ21" s="285"/>
      <c r="BA21" s="285"/>
      <c r="BB21" s="285"/>
      <c r="BC21" s="43"/>
      <c r="BD21" s="43"/>
      <c r="BE21" s="43"/>
      <c r="BF21" s="43"/>
      <c r="BG21" s="43"/>
      <c r="BH21" s="44"/>
      <c r="BI21" s="432" t="str">
        <f>IF(VLOOKUP(A21,①園入力用名簿!A:AO,33,0)="","",VLOOKUP(A21,①園入力用名簿!A:AO,33,0))</f>
        <v/>
      </c>
      <c r="BJ21" s="433"/>
      <c r="BK21" s="433"/>
      <c r="BL21" s="433"/>
      <c r="BM21" s="433"/>
      <c r="BN21" s="433"/>
      <c r="BO21" s="433"/>
      <c r="BP21" s="433"/>
      <c r="BQ21" s="433"/>
      <c r="BR21" s="433"/>
      <c r="BS21" s="247" t="s">
        <v>26</v>
      </c>
      <c r="BT21" s="436"/>
      <c r="BU21" s="439" t="str">
        <f>IF(VLOOKUP(A21,①園入力用名簿!A:AO,34,0)="","",VLOOKUP(A21,①園入力用名簿!A:AO,34,0))</f>
        <v/>
      </c>
      <c r="BV21" s="433"/>
      <c r="BW21" s="433"/>
      <c r="BX21" s="433"/>
      <c r="BY21" s="433"/>
      <c r="BZ21" s="433"/>
      <c r="CA21" s="433"/>
      <c r="CB21" s="433"/>
      <c r="CC21" s="433"/>
      <c r="CD21" s="433"/>
      <c r="CE21" s="247" t="s">
        <v>26</v>
      </c>
      <c r="CF21" s="441"/>
      <c r="CG21" s="47"/>
    </row>
    <row r="22" spans="1:88" s="14" customFormat="1" ht="9.75" customHeight="1">
      <c r="A22" s="426"/>
      <c r="B22" s="288"/>
      <c r="C22" s="426"/>
      <c r="D22" s="287"/>
      <c r="E22" s="287"/>
      <c r="F22" s="287"/>
      <c r="G22" s="287"/>
      <c r="H22" s="288"/>
      <c r="I22" s="426"/>
      <c r="J22" s="287"/>
      <c r="K22" s="287"/>
      <c r="L22" s="287"/>
      <c r="M22" s="287"/>
      <c r="N22" s="287"/>
      <c r="O22" s="287"/>
      <c r="P22" s="287"/>
      <c r="Q22" s="287"/>
      <c r="R22" s="287"/>
      <c r="S22" s="288"/>
      <c r="T22" s="426"/>
      <c r="U22" s="287"/>
      <c r="V22" s="287"/>
      <c r="W22" s="287"/>
      <c r="X22" s="287"/>
      <c r="Y22" s="287"/>
      <c r="Z22" s="428"/>
      <c r="AA22" s="428"/>
      <c r="AB22" s="428"/>
      <c r="AC22" s="428"/>
      <c r="AD22" s="428"/>
      <c r="AE22" s="428"/>
      <c r="AF22" s="287"/>
      <c r="AG22" s="288"/>
      <c r="AH22" s="430"/>
      <c r="AI22" s="431"/>
      <c r="AJ22" s="431"/>
      <c r="AK22" s="431"/>
      <c r="AL22" s="49"/>
      <c r="AM22" s="458"/>
      <c r="AN22" s="458"/>
      <c r="AO22" s="458"/>
      <c r="AP22" s="458"/>
      <c r="AQ22" s="458"/>
      <c r="AR22" s="458"/>
      <c r="AS22" s="458"/>
      <c r="AT22" s="458"/>
      <c r="AU22" s="458"/>
      <c r="AV22" s="458"/>
      <c r="AW22" s="458"/>
      <c r="AX22" s="27"/>
      <c r="AY22" s="426"/>
      <c r="AZ22" s="287"/>
      <c r="BA22" s="287"/>
      <c r="BB22" s="287"/>
      <c r="BC22" s="45"/>
      <c r="BD22" s="45"/>
      <c r="BE22" s="45"/>
      <c r="BF22" s="45"/>
      <c r="BG22" s="45"/>
      <c r="BH22" s="46"/>
      <c r="BI22" s="434"/>
      <c r="BJ22" s="435"/>
      <c r="BK22" s="435"/>
      <c r="BL22" s="435"/>
      <c r="BM22" s="435"/>
      <c r="BN22" s="435"/>
      <c r="BO22" s="435"/>
      <c r="BP22" s="435"/>
      <c r="BQ22" s="435"/>
      <c r="BR22" s="435"/>
      <c r="BS22" s="437"/>
      <c r="BT22" s="438"/>
      <c r="BU22" s="440"/>
      <c r="BV22" s="435"/>
      <c r="BW22" s="435"/>
      <c r="BX22" s="435"/>
      <c r="BY22" s="435"/>
      <c r="BZ22" s="435"/>
      <c r="CA22" s="435"/>
      <c r="CB22" s="435"/>
      <c r="CC22" s="435"/>
      <c r="CD22" s="435"/>
      <c r="CE22" s="437"/>
      <c r="CF22" s="442"/>
      <c r="CG22" s="47"/>
    </row>
    <row r="23" spans="1:88" s="14" customFormat="1" ht="9.75" customHeight="1">
      <c r="A23" s="426"/>
      <c r="B23" s="288"/>
      <c r="C23" s="426"/>
      <c r="D23" s="287"/>
      <c r="E23" s="287"/>
      <c r="F23" s="287"/>
      <c r="G23" s="287"/>
      <c r="H23" s="288"/>
      <c r="I23" s="426" t="str">
        <f>IF(VLOOKUP(A21,①園入力用名簿!A:AF,2,0)="","",VLOOKUP(A21,①園入力用名簿!A:AF,2,0))</f>
        <v/>
      </c>
      <c r="J23" s="287"/>
      <c r="K23" s="287"/>
      <c r="L23" s="287"/>
      <c r="M23" s="287"/>
      <c r="N23" s="287"/>
      <c r="O23" s="287"/>
      <c r="P23" s="287"/>
      <c r="Q23" s="287"/>
      <c r="R23" s="287"/>
      <c r="S23" s="288"/>
      <c r="T23" s="426" t="str">
        <f>IF(VLOOKUP(A21,①園入力用名簿!A:AF,21,0)="","",IF(VLOOKUP(A21,①園入力用名簿!A:AF,21,0)="日額契約","■ 日額契約","□ 日額契約"))</f>
        <v/>
      </c>
      <c r="U23" s="287"/>
      <c r="V23" s="287"/>
      <c r="W23" s="287"/>
      <c r="X23" s="287"/>
      <c r="Y23" s="287"/>
      <c r="Z23" s="428"/>
      <c r="AA23" s="428"/>
      <c r="AB23" s="428"/>
      <c r="AC23" s="428"/>
      <c r="AD23" s="428"/>
      <c r="AE23" s="428"/>
      <c r="AF23" s="287"/>
      <c r="AG23" s="288"/>
      <c r="AH23" s="430" t="s">
        <v>49</v>
      </c>
      <c r="AI23" s="431"/>
      <c r="AJ23" s="431"/>
      <c r="AK23" s="431"/>
      <c r="AL23" s="45"/>
      <c r="AM23" s="287" t="str">
        <f>IF(VLOOKUP(A21,①園入力用名簿!A:W,22,0)="","□ 有","■ 有")</f>
        <v>□ 有</v>
      </c>
      <c r="AN23" s="287"/>
      <c r="AO23" s="287"/>
      <c r="AP23" s="287"/>
      <c r="AQ23" s="45"/>
      <c r="AR23" s="287" t="str">
        <f>IF(VLOOKUP(A21,①園入力用名簿!A:W,22,0)="","■ 無","□ 無")</f>
        <v>■ 無</v>
      </c>
      <c r="AS23" s="287"/>
      <c r="AT23" s="287"/>
      <c r="AU23" s="287"/>
      <c r="AV23" s="287" t="s">
        <v>54</v>
      </c>
      <c r="AW23" s="287"/>
      <c r="AX23" s="46"/>
      <c r="AY23" s="426" t="str">
        <f>IF(AND(VLOOKUP(A21,①園入力用名簿!A:AF,28,0)=$AP$6,VLOOKUP(A21,①園入力用名簿!A:AF,24,0)="入園"),"■ 入園","□ 入園")</f>
        <v>□ 入園</v>
      </c>
      <c r="AZ23" s="287"/>
      <c r="BA23" s="287"/>
      <c r="BB23" s="287"/>
      <c r="BC23" s="287" t="s">
        <v>55</v>
      </c>
      <c r="BD23" s="287" t="str">
        <f>IF(AND(VLOOKUP(A21,①園入力用名簿!A:AF,24,0)="入園",VLOOKUP(A21,①園入力用名簿!A:AF,28,0)=$AQ$6),VLOOKUP(A21,①園入力用名簿!A:AF,30,0),"")</f>
        <v/>
      </c>
      <c r="BE23" s="287"/>
      <c r="BF23" s="287" t="s">
        <v>57</v>
      </c>
      <c r="BG23" s="287"/>
      <c r="BH23" s="288" t="s">
        <v>56</v>
      </c>
      <c r="BI23" s="443" t="str">
        <f>IF(VLOOKUP(A21,①園入力用名簿!A:AF,2,0)="","",BI21+BU21)</f>
        <v/>
      </c>
      <c r="BJ23" s="444"/>
      <c r="BK23" s="444"/>
      <c r="BL23" s="444"/>
      <c r="BM23" s="444"/>
      <c r="BN23" s="444"/>
      <c r="BO23" s="444"/>
      <c r="BP23" s="444"/>
      <c r="BQ23" s="444"/>
      <c r="BR23" s="444"/>
      <c r="BS23" s="447" t="s">
        <v>26</v>
      </c>
      <c r="BT23" s="448"/>
      <c r="BU23" s="449" t="str">
        <f>IF(VLOOKUP(A21,①園入力用名簿!A:AO,35,0)="","",VLOOKUP(A21,①園入力用名簿!A:AO,35,0))</f>
        <v/>
      </c>
      <c r="BV23" s="450"/>
      <c r="BW23" s="450"/>
      <c r="BX23" s="450"/>
      <c r="BY23" s="450"/>
      <c r="BZ23" s="450"/>
      <c r="CA23" s="450"/>
      <c r="CB23" s="450"/>
      <c r="CC23" s="450"/>
      <c r="CD23" s="450"/>
      <c r="CE23" s="249" t="s">
        <v>26</v>
      </c>
      <c r="CF23" s="451"/>
      <c r="CG23" s="19"/>
      <c r="CH23" s="42"/>
    </row>
    <row r="24" spans="1:88" s="14" customFormat="1" ht="9.75" customHeight="1">
      <c r="A24" s="426"/>
      <c r="B24" s="288"/>
      <c r="C24" s="426"/>
      <c r="D24" s="287"/>
      <c r="E24" s="287"/>
      <c r="F24" s="287"/>
      <c r="G24" s="287"/>
      <c r="H24" s="288"/>
      <c r="I24" s="426"/>
      <c r="J24" s="287"/>
      <c r="K24" s="287"/>
      <c r="L24" s="287"/>
      <c r="M24" s="287"/>
      <c r="N24" s="287"/>
      <c r="O24" s="287"/>
      <c r="P24" s="287"/>
      <c r="Q24" s="287"/>
      <c r="R24" s="287"/>
      <c r="S24" s="288"/>
      <c r="T24" s="426"/>
      <c r="U24" s="287"/>
      <c r="V24" s="287"/>
      <c r="W24" s="287"/>
      <c r="X24" s="287"/>
      <c r="Y24" s="287"/>
      <c r="Z24" s="428"/>
      <c r="AA24" s="428"/>
      <c r="AB24" s="428"/>
      <c r="AC24" s="428"/>
      <c r="AD24" s="428"/>
      <c r="AE24" s="428"/>
      <c r="AF24" s="287"/>
      <c r="AG24" s="288"/>
      <c r="AH24" s="430"/>
      <c r="AI24" s="431"/>
      <c r="AJ24" s="431"/>
      <c r="AK24" s="431"/>
      <c r="AL24" s="45"/>
      <c r="AM24" s="287"/>
      <c r="AN24" s="287"/>
      <c r="AO24" s="287"/>
      <c r="AP24" s="287"/>
      <c r="AQ24" s="45"/>
      <c r="AR24" s="287"/>
      <c r="AS24" s="287"/>
      <c r="AT24" s="287"/>
      <c r="AU24" s="287"/>
      <c r="AV24" s="287"/>
      <c r="AW24" s="287"/>
      <c r="AX24" s="46"/>
      <c r="AY24" s="426"/>
      <c r="AZ24" s="287"/>
      <c r="BA24" s="287"/>
      <c r="BB24" s="287"/>
      <c r="BC24" s="287"/>
      <c r="BD24" s="287"/>
      <c r="BE24" s="287"/>
      <c r="BF24" s="287"/>
      <c r="BG24" s="287"/>
      <c r="BH24" s="288"/>
      <c r="BI24" s="445"/>
      <c r="BJ24" s="446"/>
      <c r="BK24" s="446"/>
      <c r="BL24" s="446"/>
      <c r="BM24" s="446"/>
      <c r="BN24" s="446"/>
      <c r="BO24" s="446"/>
      <c r="BP24" s="446"/>
      <c r="BQ24" s="446"/>
      <c r="BR24" s="446"/>
      <c r="BS24" s="437"/>
      <c r="BT24" s="438"/>
      <c r="BU24" s="440"/>
      <c r="BV24" s="435"/>
      <c r="BW24" s="435"/>
      <c r="BX24" s="435"/>
      <c r="BY24" s="435"/>
      <c r="BZ24" s="435"/>
      <c r="CA24" s="435"/>
      <c r="CB24" s="435"/>
      <c r="CC24" s="435"/>
      <c r="CD24" s="435"/>
      <c r="CE24" s="437"/>
      <c r="CF24" s="442"/>
      <c r="CG24" s="47"/>
    </row>
    <row r="25" spans="1:88" s="14" customFormat="1" ht="9.75" customHeight="1">
      <c r="A25" s="426"/>
      <c r="B25" s="288"/>
      <c r="C25" s="426"/>
      <c r="D25" s="287"/>
      <c r="E25" s="287"/>
      <c r="F25" s="287"/>
      <c r="G25" s="287"/>
      <c r="H25" s="288"/>
      <c r="I25" s="426"/>
      <c r="J25" s="287"/>
      <c r="K25" s="287"/>
      <c r="L25" s="287"/>
      <c r="M25" s="287"/>
      <c r="N25" s="287"/>
      <c r="O25" s="287"/>
      <c r="P25" s="287"/>
      <c r="Q25" s="287"/>
      <c r="R25" s="287"/>
      <c r="S25" s="288"/>
      <c r="T25" s="426" t="str">
        <f>IF(VLOOKUP(A21,①園入力用名簿!A:AF,21,0)="","",IF(VLOOKUP(A21,①園入力用名簿!A:AF,21,0)="時間契約","■ 時間契約","□ 時間契約"))</f>
        <v/>
      </c>
      <c r="U25" s="287"/>
      <c r="V25" s="287"/>
      <c r="W25" s="287"/>
      <c r="X25" s="287"/>
      <c r="Y25" s="287"/>
      <c r="Z25" s="428"/>
      <c r="AA25" s="428"/>
      <c r="AB25" s="428"/>
      <c r="AC25" s="428"/>
      <c r="AD25" s="428"/>
      <c r="AE25" s="428"/>
      <c r="AF25" s="287"/>
      <c r="AG25" s="288"/>
      <c r="AH25" s="426" t="s">
        <v>50</v>
      </c>
      <c r="AI25" s="287" t="s">
        <v>51</v>
      </c>
      <c r="AJ25" s="287"/>
      <c r="AK25" s="287"/>
      <c r="AL25" s="287"/>
      <c r="AM25" s="287"/>
      <c r="AN25" s="428" t="str">
        <f>IF(VLOOKUP(A21,①園入力用名簿!A:W,22,0)="","",VLOOKUP(A21,①園入力用名簿!A:W,22,0))</f>
        <v/>
      </c>
      <c r="AO25" s="428"/>
      <c r="AP25" s="428"/>
      <c r="AQ25" s="428"/>
      <c r="AR25" s="428"/>
      <c r="AS25" s="428"/>
      <c r="AT25" s="428"/>
      <c r="AU25" s="428"/>
      <c r="AV25" s="287" t="s">
        <v>26</v>
      </c>
      <c r="AW25" s="287"/>
      <c r="AX25" s="288" t="s">
        <v>53</v>
      </c>
      <c r="AY25" s="426" t="str">
        <f>IF(AND(VLOOKUP(A21,①園入力用名簿!A:AF,28,0)=$AP$6,VLOOKUP(A21,①園入力用名簿!A:AF,24,0)="退園"),"■ 退園","□ 退園")</f>
        <v>□ 退園</v>
      </c>
      <c r="AZ25" s="287"/>
      <c r="BA25" s="287"/>
      <c r="BB25" s="287"/>
      <c r="BC25" s="287" t="s">
        <v>55</v>
      </c>
      <c r="BD25" s="287" t="str">
        <f>IF(AND(VLOOKUP(A21,①園入力用名簿!A:AF,24,0)="退園",VLOOKUP(A21,①園入力用名簿!A:AF,28,0)=$AQ$6),VLOOKUP(A21,①園入力用名簿!A:AF,30,0),"")</f>
        <v/>
      </c>
      <c r="BE25" s="287"/>
      <c r="BF25" s="287" t="s">
        <v>57</v>
      </c>
      <c r="BG25" s="287"/>
      <c r="BH25" s="288" t="s">
        <v>56</v>
      </c>
      <c r="BI25" s="459" t="str">
        <f>IF(VLOOKUP(A21,①園入力用名簿!A:AF,2,0)="","",VLOOKUP(A21,①園入力用名簿!A:AO,41,0))</f>
        <v/>
      </c>
      <c r="BJ25" s="460"/>
      <c r="BK25" s="460"/>
      <c r="BL25" s="460"/>
      <c r="BM25" s="460"/>
      <c r="BN25" s="460"/>
      <c r="BO25" s="460"/>
      <c r="BP25" s="460"/>
      <c r="BQ25" s="460"/>
      <c r="BR25" s="460"/>
      <c r="BS25" s="460"/>
      <c r="BT25" s="460"/>
      <c r="BU25" s="460"/>
      <c r="BV25" s="460"/>
      <c r="BW25" s="460"/>
      <c r="BX25" s="460"/>
      <c r="BY25" s="460"/>
      <c r="BZ25" s="460"/>
      <c r="CA25" s="460"/>
      <c r="CB25" s="460"/>
      <c r="CC25" s="460"/>
      <c r="CD25" s="460"/>
      <c r="CE25" s="447" t="s">
        <v>26</v>
      </c>
      <c r="CF25" s="463"/>
      <c r="CG25" s="47"/>
    </row>
    <row r="26" spans="1:88" s="14" customFormat="1" ht="9.75" customHeight="1" thickBot="1">
      <c r="A26" s="427"/>
      <c r="B26" s="290"/>
      <c r="C26" s="427"/>
      <c r="D26" s="289"/>
      <c r="E26" s="289"/>
      <c r="F26" s="289"/>
      <c r="G26" s="289"/>
      <c r="H26" s="290"/>
      <c r="I26" s="427"/>
      <c r="J26" s="289"/>
      <c r="K26" s="289"/>
      <c r="L26" s="289"/>
      <c r="M26" s="289"/>
      <c r="N26" s="289"/>
      <c r="O26" s="289"/>
      <c r="P26" s="289"/>
      <c r="Q26" s="289"/>
      <c r="R26" s="289"/>
      <c r="S26" s="290"/>
      <c r="T26" s="427"/>
      <c r="U26" s="289"/>
      <c r="V26" s="289"/>
      <c r="W26" s="289"/>
      <c r="X26" s="289"/>
      <c r="Y26" s="289"/>
      <c r="Z26" s="429"/>
      <c r="AA26" s="429"/>
      <c r="AB26" s="429"/>
      <c r="AC26" s="429"/>
      <c r="AD26" s="429"/>
      <c r="AE26" s="429"/>
      <c r="AF26" s="289"/>
      <c r="AG26" s="290"/>
      <c r="AH26" s="427"/>
      <c r="AI26" s="289"/>
      <c r="AJ26" s="289"/>
      <c r="AK26" s="289"/>
      <c r="AL26" s="289"/>
      <c r="AM26" s="289"/>
      <c r="AN26" s="429"/>
      <c r="AO26" s="429"/>
      <c r="AP26" s="429"/>
      <c r="AQ26" s="429"/>
      <c r="AR26" s="429"/>
      <c r="AS26" s="429"/>
      <c r="AT26" s="429"/>
      <c r="AU26" s="429"/>
      <c r="AV26" s="289"/>
      <c r="AW26" s="289"/>
      <c r="AX26" s="290"/>
      <c r="AY26" s="427"/>
      <c r="AZ26" s="289"/>
      <c r="BA26" s="289"/>
      <c r="BB26" s="289"/>
      <c r="BC26" s="289"/>
      <c r="BD26" s="289"/>
      <c r="BE26" s="289"/>
      <c r="BF26" s="289"/>
      <c r="BG26" s="289"/>
      <c r="BH26" s="290"/>
      <c r="BI26" s="461"/>
      <c r="BJ26" s="462"/>
      <c r="BK26" s="462"/>
      <c r="BL26" s="462"/>
      <c r="BM26" s="462"/>
      <c r="BN26" s="462"/>
      <c r="BO26" s="462"/>
      <c r="BP26" s="462"/>
      <c r="BQ26" s="462"/>
      <c r="BR26" s="462"/>
      <c r="BS26" s="462"/>
      <c r="BT26" s="462"/>
      <c r="BU26" s="462"/>
      <c r="BV26" s="462"/>
      <c r="BW26" s="462"/>
      <c r="BX26" s="462"/>
      <c r="BY26" s="462"/>
      <c r="BZ26" s="462"/>
      <c r="CA26" s="462"/>
      <c r="CB26" s="462"/>
      <c r="CC26" s="462"/>
      <c r="CD26" s="462"/>
      <c r="CE26" s="464"/>
      <c r="CF26" s="465"/>
      <c r="CG26" s="47"/>
    </row>
    <row r="27" spans="1:88" s="14" customFormat="1" ht="9.75" customHeight="1">
      <c r="A27" s="452">
        <v>3</v>
      </c>
      <c r="B27" s="286"/>
      <c r="C27" s="453" t="str">
        <f>IF(VLOOKUP(A27,①園入力用名簿!A:AF,4,0)="","",VLOOKUP(A27,①園入力用名簿!A:AF,4,0))</f>
        <v/>
      </c>
      <c r="D27" s="285"/>
      <c r="E27" s="285"/>
      <c r="F27" s="285"/>
      <c r="G27" s="285"/>
      <c r="H27" s="286"/>
      <c r="I27" s="452" t="str">
        <f>IF(VLOOKUP(A27,①園入力用名簿!A:AF,3,0)="","",VLOOKUP(A27,①園入力用名簿!A:AF,3,0))</f>
        <v/>
      </c>
      <c r="J27" s="285"/>
      <c r="K27" s="285"/>
      <c r="L27" s="285"/>
      <c r="M27" s="285"/>
      <c r="N27" s="285"/>
      <c r="O27" s="285"/>
      <c r="P27" s="285"/>
      <c r="Q27" s="285"/>
      <c r="R27" s="285"/>
      <c r="S27" s="286"/>
      <c r="T27" s="452" t="str">
        <f>IF(VLOOKUP(A27,①園入力用名簿!A:AF,21,0)="","",IF(VLOOKUP(A27,①園入力用名簿!A:AF,21,0)="月額契約","■ 月額契約","□ 月額契約"))</f>
        <v/>
      </c>
      <c r="U27" s="285"/>
      <c r="V27" s="285"/>
      <c r="W27" s="285"/>
      <c r="X27" s="285"/>
      <c r="Y27" s="285"/>
      <c r="Z27" s="454" t="str">
        <f>IF(VLOOKUP(A27,①園入力用名簿!A:AF,23,0)="","",VLOOKUP(A27,①園入力用名簿!A:AF,23,0))</f>
        <v/>
      </c>
      <c r="AA27" s="454"/>
      <c r="AB27" s="454"/>
      <c r="AC27" s="454"/>
      <c r="AD27" s="454"/>
      <c r="AE27" s="454"/>
      <c r="AF27" s="285" t="s">
        <v>26</v>
      </c>
      <c r="AG27" s="286"/>
      <c r="AH27" s="455" t="s">
        <v>48</v>
      </c>
      <c r="AI27" s="456"/>
      <c r="AJ27" s="456"/>
      <c r="AK27" s="456"/>
      <c r="AL27" s="48"/>
      <c r="AM27" s="457" t="str">
        <f>IF(VLOOKUP(A27,①園入力用名簿!A:W,7,0)="","",①園入力用名簿!H16&amp;①園入力用名簿!I16&amp;①園入力用名簿!J16&amp;①園入力用名簿!K16&amp;①園入力用名簿!L16&amp;①園入力用名簿!M16&amp;①園入力用名簿!N16)</f>
        <v/>
      </c>
      <c r="AN27" s="457"/>
      <c r="AO27" s="457"/>
      <c r="AP27" s="457"/>
      <c r="AQ27" s="457"/>
      <c r="AR27" s="457"/>
      <c r="AS27" s="457"/>
      <c r="AT27" s="457"/>
      <c r="AU27" s="457"/>
      <c r="AV27" s="457"/>
      <c r="AW27" s="457"/>
      <c r="AX27" s="25"/>
      <c r="AY27" s="452" t="str">
        <f>IF(OR(VLOOKUP(A27,①園入力用名簿!A:AF,28,0)&lt;&gt;$AP$6,VLOOKUP(A27,①園入力用名簿!A:AF,24,0)=""),"■ なし","□ なし")</f>
        <v>■ なし</v>
      </c>
      <c r="AZ27" s="285"/>
      <c r="BA27" s="285"/>
      <c r="BB27" s="285"/>
      <c r="BC27" s="43"/>
      <c r="BD27" s="43"/>
      <c r="BE27" s="43"/>
      <c r="BF27" s="43"/>
      <c r="BG27" s="43"/>
      <c r="BH27" s="44"/>
      <c r="BI27" s="432" t="str">
        <f>IF(VLOOKUP(A27,①園入力用名簿!A:AO,33,0)="","",VLOOKUP(A27,①園入力用名簿!A:AO,33,0))</f>
        <v/>
      </c>
      <c r="BJ27" s="433"/>
      <c r="BK27" s="433"/>
      <c r="BL27" s="433"/>
      <c r="BM27" s="433"/>
      <c r="BN27" s="433"/>
      <c r="BO27" s="433"/>
      <c r="BP27" s="433"/>
      <c r="BQ27" s="433"/>
      <c r="BR27" s="433"/>
      <c r="BS27" s="247" t="s">
        <v>26</v>
      </c>
      <c r="BT27" s="436"/>
      <c r="BU27" s="439" t="str">
        <f>IF(VLOOKUP(A27,①園入力用名簿!A:AO,34,0)="","",VLOOKUP(A27,①園入力用名簿!A:AO,34,0))</f>
        <v/>
      </c>
      <c r="BV27" s="433"/>
      <c r="BW27" s="433"/>
      <c r="BX27" s="433"/>
      <c r="BY27" s="433"/>
      <c r="BZ27" s="433"/>
      <c r="CA27" s="433"/>
      <c r="CB27" s="433"/>
      <c r="CC27" s="433"/>
      <c r="CD27" s="433"/>
      <c r="CE27" s="247" t="s">
        <v>26</v>
      </c>
      <c r="CF27" s="441"/>
      <c r="CG27" s="47"/>
    </row>
    <row r="28" spans="1:88" s="14" customFormat="1" ht="9.75" customHeight="1">
      <c r="A28" s="426"/>
      <c r="B28" s="288"/>
      <c r="C28" s="426"/>
      <c r="D28" s="287"/>
      <c r="E28" s="287"/>
      <c r="F28" s="287"/>
      <c r="G28" s="287"/>
      <c r="H28" s="288"/>
      <c r="I28" s="426"/>
      <c r="J28" s="287"/>
      <c r="K28" s="287"/>
      <c r="L28" s="287"/>
      <c r="M28" s="287"/>
      <c r="N28" s="287"/>
      <c r="O28" s="287"/>
      <c r="P28" s="287"/>
      <c r="Q28" s="287"/>
      <c r="R28" s="287"/>
      <c r="S28" s="288"/>
      <c r="T28" s="426"/>
      <c r="U28" s="287"/>
      <c r="V28" s="287"/>
      <c r="W28" s="287"/>
      <c r="X28" s="287"/>
      <c r="Y28" s="287"/>
      <c r="Z28" s="428"/>
      <c r="AA28" s="428"/>
      <c r="AB28" s="428"/>
      <c r="AC28" s="428"/>
      <c r="AD28" s="428"/>
      <c r="AE28" s="428"/>
      <c r="AF28" s="287"/>
      <c r="AG28" s="288"/>
      <c r="AH28" s="430"/>
      <c r="AI28" s="431"/>
      <c r="AJ28" s="431"/>
      <c r="AK28" s="431"/>
      <c r="AL28" s="49"/>
      <c r="AM28" s="458"/>
      <c r="AN28" s="458"/>
      <c r="AO28" s="458"/>
      <c r="AP28" s="458"/>
      <c r="AQ28" s="458"/>
      <c r="AR28" s="458"/>
      <c r="AS28" s="458"/>
      <c r="AT28" s="458"/>
      <c r="AU28" s="458"/>
      <c r="AV28" s="458"/>
      <c r="AW28" s="458"/>
      <c r="AX28" s="27"/>
      <c r="AY28" s="426"/>
      <c r="AZ28" s="287"/>
      <c r="BA28" s="287"/>
      <c r="BB28" s="287"/>
      <c r="BC28" s="45"/>
      <c r="BD28" s="45"/>
      <c r="BE28" s="45"/>
      <c r="BF28" s="45"/>
      <c r="BG28" s="45"/>
      <c r="BH28" s="46"/>
      <c r="BI28" s="434"/>
      <c r="BJ28" s="435"/>
      <c r="BK28" s="435"/>
      <c r="BL28" s="435"/>
      <c r="BM28" s="435"/>
      <c r="BN28" s="435"/>
      <c r="BO28" s="435"/>
      <c r="BP28" s="435"/>
      <c r="BQ28" s="435"/>
      <c r="BR28" s="435"/>
      <c r="BS28" s="437"/>
      <c r="BT28" s="438"/>
      <c r="BU28" s="440"/>
      <c r="BV28" s="435"/>
      <c r="BW28" s="435"/>
      <c r="BX28" s="435"/>
      <c r="BY28" s="435"/>
      <c r="BZ28" s="435"/>
      <c r="CA28" s="435"/>
      <c r="CB28" s="435"/>
      <c r="CC28" s="435"/>
      <c r="CD28" s="435"/>
      <c r="CE28" s="437"/>
      <c r="CF28" s="442"/>
      <c r="CG28" s="47"/>
    </row>
    <row r="29" spans="1:88" s="14" customFormat="1" ht="9.75" customHeight="1">
      <c r="A29" s="426"/>
      <c r="B29" s="288"/>
      <c r="C29" s="426"/>
      <c r="D29" s="287"/>
      <c r="E29" s="287"/>
      <c r="F29" s="287"/>
      <c r="G29" s="287"/>
      <c r="H29" s="288"/>
      <c r="I29" s="426" t="str">
        <f>IF(VLOOKUP(A27,①園入力用名簿!A:AF,2,0)="","",VLOOKUP(A27,①園入力用名簿!A:AF,2,0))</f>
        <v/>
      </c>
      <c r="J29" s="287"/>
      <c r="K29" s="287"/>
      <c r="L29" s="287"/>
      <c r="M29" s="287"/>
      <c r="N29" s="287"/>
      <c r="O29" s="287"/>
      <c r="P29" s="287"/>
      <c r="Q29" s="287"/>
      <c r="R29" s="287"/>
      <c r="S29" s="288"/>
      <c r="T29" s="426" t="str">
        <f>IF(VLOOKUP(A27,①園入力用名簿!A:AF,21,0)="","",IF(VLOOKUP(A27,①園入力用名簿!A:AF,21,0)="日額契約","■ 日額契約","□ 日額契約"))</f>
        <v/>
      </c>
      <c r="U29" s="287"/>
      <c r="V29" s="287"/>
      <c r="W29" s="287"/>
      <c r="X29" s="287"/>
      <c r="Y29" s="287"/>
      <c r="Z29" s="428"/>
      <c r="AA29" s="428"/>
      <c r="AB29" s="428"/>
      <c r="AC29" s="428"/>
      <c r="AD29" s="428"/>
      <c r="AE29" s="428"/>
      <c r="AF29" s="287"/>
      <c r="AG29" s="288"/>
      <c r="AH29" s="430" t="s">
        <v>49</v>
      </c>
      <c r="AI29" s="431"/>
      <c r="AJ29" s="431"/>
      <c r="AK29" s="431"/>
      <c r="AL29" s="45"/>
      <c r="AM29" s="287" t="str">
        <f>IF(VLOOKUP(A27,①園入力用名簿!A:W,22,0)="","□ 有","■ 有")</f>
        <v>□ 有</v>
      </c>
      <c r="AN29" s="287"/>
      <c r="AO29" s="287"/>
      <c r="AP29" s="287"/>
      <c r="AQ29" s="45"/>
      <c r="AR29" s="287" t="str">
        <f>IF(VLOOKUP(A27,①園入力用名簿!A:W,22,0)="","■ 無","□ 無")</f>
        <v>■ 無</v>
      </c>
      <c r="AS29" s="287"/>
      <c r="AT29" s="287"/>
      <c r="AU29" s="287"/>
      <c r="AV29" s="287" t="s">
        <v>54</v>
      </c>
      <c r="AW29" s="287"/>
      <c r="AX29" s="46"/>
      <c r="AY29" s="426" t="str">
        <f>IF(AND(VLOOKUP(A27,①園入力用名簿!A:AF,28,0)=$AP$6,VLOOKUP(A27,①園入力用名簿!A:AF,24,0)="入園"),"■ 入園","□ 入園")</f>
        <v>□ 入園</v>
      </c>
      <c r="AZ29" s="287"/>
      <c r="BA29" s="287"/>
      <c r="BB29" s="287"/>
      <c r="BC29" s="287" t="s">
        <v>55</v>
      </c>
      <c r="BD29" s="287" t="str">
        <f>IF(AND(VLOOKUP(A27,①園入力用名簿!A:AF,24,0)="入園",VLOOKUP(A27,①園入力用名簿!A:AF,28,0)=$AQ$6),VLOOKUP(A27,①園入力用名簿!A:AF,30,0),"")</f>
        <v/>
      </c>
      <c r="BE29" s="287"/>
      <c r="BF29" s="287" t="s">
        <v>57</v>
      </c>
      <c r="BG29" s="287"/>
      <c r="BH29" s="288" t="s">
        <v>56</v>
      </c>
      <c r="BI29" s="443" t="str">
        <f>IF(VLOOKUP(A27,①園入力用名簿!A:AF,2,0)="","",BI27+BU27)</f>
        <v/>
      </c>
      <c r="BJ29" s="444"/>
      <c r="BK29" s="444"/>
      <c r="BL29" s="444"/>
      <c r="BM29" s="444"/>
      <c r="BN29" s="444"/>
      <c r="BO29" s="444"/>
      <c r="BP29" s="444"/>
      <c r="BQ29" s="444"/>
      <c r="BR29" s="444"/>
      <c r="BS29" s="447" t="s">
        <v>26</v>
      </c>
      <c r="BT29" s="448"/>
      <c r="BU29" s="449" t="str">
        <f>IF(VLOOKUP(A27,①園入力用名簿!A:AO,35,0)="","",VLOOKUP(A27,①園入力用名簿!A:AO,35,0))</f>
        <v/>
      </c>
      <c r="BV29" s="450"/>
      <c r="BW29" s="450"/>
      <c r="BX29" s="450"/>
      <c r="BY29" s="450"/>
      <c r="BZ29" s="450"/>
      <c r="CA29" s="450"/>
      <c r="CB29" s="450"/>
      <c r="CC29" s="450"/>
      <c r="CD29" s="450"/>
      <c r="CE29" s="249" t="s">
        <v>26</v>
      </c>
      <c r="CF29" s="451"/>
      <c r="CG29" s="19"/>
      <c r="CH29" s="42"/>
    </row>
    <row r="30" spans="1:88" s="14" customFormat="1" ht="9.75" customHeight="1">
      <c r="A30" s="426"/>
      <c r="B30" s="288"/>
      <c r="C30" s="426"/>
      <c r="D30" s="287"/>
      <c r="E30" s="287"/>
      <c r="F30" s="287"/>
      <c r="G30" s="287"/>
      <c r="H30" s="288"/>
      <c r="I30" s="426"/>
      <c r="J30" s="287"/>
      <c r="K30" s="287"/>
      <c r="L30" s="287"/>
      <c r="M30" s="287"/>
      <c r="N30" s="287"/>
      <c r="O30" s="287"/>
      <c r="P30" s="287"/>
      <c r="Q30" s="287"/>
      <c r="R30" s="287"/>
      <c r="S30" s="288"/>
      <c r="T30" s="426"/>
      <c r="U30" s="287"/>
      <c r="V30" s="287"/>
      <c r="W30" s="287"/>
      <c r="X30" s="287"/>
      <c r="Y30" s="287"/>
      <c r="Z30" s="428"/>
      <c r="AA30" s="428"/>
      <c r="AB30" s="428"/>
      <c r="AC30" s="428"/>
      <c r="AD30" s="428"/>
      <c r="AE30" s="428"/>
      <c r="AF30" s="287"/>
      <c r="AG30" s="288"/>
      <c r="AH30" s="430"/>
      <c r="AI30" s="431"/>
      <c r="AJ30" s="431"/>
      <c r="AK30" s="431"/>
      <c r="AL30" s="45"/>
      <c r="AM30" s="287"/>
      <c r="AN30" s="287"/>
      <c r="AO30" s="287"/>
      <c r="AP30" s="287"/>
      <c r="AQ30" s="45"/>
      <c r="AR30" s="287"/>
      <c r="AS30" s="287"/>
      <c r="AT30" s="287"/>
      <c r="AU30" s="287"/>
      <c r="AV30" s="287"/>
      <c r="AW30" s="287"/>
      <c r="AX30" s="46"/>
      <c r="AY30" s="426"/>
      <c r="AZ30" s="287"/>
      <c r="BA30" s="287"/>
      <c r="BB30" s="287"/>
      <c r="BC30" s="287"/>
      <c r="BD30" s="287"/>
      <c r="BE30" s="287"/>
      <c r="BF30" s="287"/>
      <c r="BG30" s="287"/>
      <c r="BH30" s="288"/>
      <c r="BI30" s="445"/>
      <c r="BJ30" s="446"/>
      <c r="BK30" s="446"/>
      <c r="BL30" s="446"/>
      <c r="BM30" s="446"/>
      <c r="BN30" s="446"/>
      <c r="BO30" s="446"/>
      <c r="BP30" s="446"/>
      <c r="BQ30" s="446"/>
      <c r="BR30" s="446"/>
      <c r="BS30" s="437"/>
      <c r="BT30" s="438"/>
      <c r="BU30" s="440"/>
      <c r="BV30" s="435"/>
      <c r="BW30" s="435"/>
      <c r="BX30" s="435"/>
      <c r="BY30" s="435"/>
      <c r="BZ30" s="435"/>
      <c r="CA30" s="435"/>
      <c r="CB30" s="435"/>
      <c r="CC30" s="435"/>
      <c r="CD30" s="435"/>
      <c r="CE30" s="437"/>
      <c r="CF30" s="442"/>
      <c r="CG30" s="47"/>
    </row>
    <row r="31" spans="1:88" s="14" customFormat="1" ht="9.75" customHeight="1">
      <c r="A31" s="426"/>
      <c r="B31" s="288"/>
      <c r="C31" s="426"/>
      <c r="D31" s="287"/>
      <c r="E31" s="287"/>
      <c r="F31" s="287"/>
      <c r="G31" s="287"/>
      <c r="H31" s="288"/>
      <c r="I31" s="426"/>
      <c r="J31" s="287"/>
      <c r="K31" s="287"/>
      <c r="L31" s="287"/>
      <c r="M31" s="287"/>
      <c r="N31" s="287"/>
      <c r="O31" s="287"/>
      <c r="P31" s="287"/>
      <c r="Q31" s="287"/>
      <c r="R31" s="287"/>
      <c r="S31" s="288"/>
      <c r="T31" s="426" t="str">
        <f>IF(VLOOKUP(A27,①園入力用名簿!A:AF,21,0)="","",IF(VLOOKUP(A27,①園入力用名簿!A:AF,21,0)="時間契約","■ 時間契約","□ 時間契約"))</f>
        <v/>
      </c>
      <c r="U31" s="287"/>
      <c r="V31" s="287"/>
      <c r="W31" s="287"/>
      <c r="X31" s="287"/>
      <c r="Y31" s="287"/>
      <c r="Z31" s="428"/>
      <c r="AA31" s="428"/>
      <c r="AB31" s="428"/>
      <c r="AC31" s="428"/>
      <c r="AD31" s="428"/>
      <c r="AE31" s="428"/>
      <c r="AF31" s="287"/>
      <c r="AG31" s="288"/>
      <c r="AH31" s="426" t="s">
        <v>50</v>
      </c>
      <c r="AI31" s="287" t="s">
        <v>51</v>
      </c>
      <c r="AJ31" s="287"/>
      <c r="AK31" s="287"/>
      <c r="AL31" s="287"/>
      <c r="AM31" s="287"/>
      <c r="AN31" s="428" t="str">
        <f>IF(VLOOKUP(A27,①園入力用名簿!A:W,22,0)="","",VLOOKUP(A27,①園入力用名簿!A:W,22,0))</f>
        <v/>
      </c>
      <c r="AO31" s="428"/>
      <c r="AP31" s="428"/>
      <c r="AQ31" s="428"/>
      <c r="AR31" s="428"/>
      <c r="AS31" s="428"/>
      <c r="AT31" s="428"/>
      <c r="AU31" s="428"/>
      <c r="AV31" s="287" t="s">
        <v>26</v>
      </c>
      <c r="AW31" s="287"/>
      <c r="AX31" s="288" t="s">
        <v>53</v>
      </c>
      <c r="AY31" s="426" t="str">
        <f>IF(AND(VLOOKUP(A27,①園入力用名簿!A:AF,28,0)=$AP$6,VLOOKUP(A27,①園入力用名簿!A:AF,24,0)="退園"),"■ 退園","□ 退園")</f>
        <v>□ 退園</v>
      </c>
      <c r="AZ31" s="287"/>
      <c r="BA31" s="287"/>
      <c r="BB31" s="287"/>
      <c r="BC31" s="287" t="s">
        <v>55</v>
      </c>
      <c r="BD31" s="287" t="str">
        <f>IF(AND(VLOOKUP(A27,①園入力用名簿!A:AF,24,0)="退園",VLOOKUP(A27,①園入力用名簿!A:AF,28,0)=$AQ$6),VLOOKUP(A27,①園入力用名簿!A:AF,30,0),"")</f>
        <v/>
      </c>
      <c r="BE31" s="287"/>
      <c r="BF31" s="287" t="s">
        <v>57</v>
      </c>
      <c r="BG31" s="287"/>
      <c r="BH31" s="288" t="s">
        <v>56</v>
      </c>
      <c r="BI31" s="459" t="str">
        <f>IF(VLOOKUP(A27,①園入力用名簿!A:AF,2,0)="","",VLOOKUP(A27,①園入力用名簿!A:AO,41,0))</f>
        <v/>
      </c>
      <c r="BJ31" s="460"/>
      <c r="BK31" s="460"/>
      <c r="BL31" s="460"/>
      <c r="BM31" s="460"/>
      <c r="BN31" s="460"/>
      <c r="BO31" s="460"/>
      <c r="BP31" s="460"/>
      <c r="BQ31" s="460"/>
      <c r="BR31" s="460"/>
      <c r="BS31" s="460"/>
      <c r="BT31" s="460"/>
      <c r="BU31" s="460"/>
      <c r="BV31" s="460"/>
      <c r="BW31" s="460"/>
      <c r="BX31" s="460"/>
      <c r="BY31" s="460"/>
      <c r="BZ31" s="460"/>
      <c r="CA31" s="460"/>
      <c r="CB31" s="460"/>
      <c r="CC31" s="460"/>
      <c r="CD31" s="460"/>
      <c r="CE31" s="447" t="s">
        <v>26</v>
      </c>
      <c r="CF31" s="463"/>
      <c r="CG31" s="47"/>
    </row>
    <row r="32" spans="1:88" s="14" customFormat="1" ht="9.75" customHeight="1" thickBot="1">
      <c r="A32" s="427"/>
      <c r="B32" s="290"/>
      <c r="C32" s="427"/>
      <c r="D32" s="289"/>
      <c r="E32" s="289"/>
      <c r="F32" s="289"/>
      <c r="G32" s="289"/>
      <c r="H32" s="290"/>
      <c r="I32" s="427"/>
      <c r="J32" s="289"/>
      <c r="K32" s="289"/>
      <c r="L32" s="289"/>
      <c r="M32" s="289"/>
      <c r="N32" s="289"/>
      <c r="O32" s="289"/>
      <c r="P32" s="289"/>
      <c r="Q32" s="289"/>
      <c r="R32" s="289"/>
      <c r="S32" s="290"/>
      <c r="T32" s="427"/>
      <c r="U32" s="289"/>
      <c r="V32" s="289"/>
      <c r="W32" s="289"/>
      <c r="X32" s="289"/>
      <c r="Y32" s="289"/>
      <c r="Z32" s="429"/>
      <c r="AA32" s="429"/>
      <c r="AB32" s="429"/>
      <c r="AC32" s="429"/>
      <c r="AD32" s="429"/>
      <c r="AE32" s="429"/>
      <c r="AF32" s="289"/>
      <c r="AG32" s="290"/>
      <c r="AH32" s="427"/>
      <c r="AI32" s="289"/>
      <c r="AJ32" s="289"/>
      <c r="AK32" s="289"/>
      <c r="AL32" s="289"/>
      <c r="AM32" s="289"/>
      <c r="AN32" s="429"/>
      <c r="AO32" s="429"/>
      <c r="AP32" s="429"/>
      <c r="AQ32" s="429"/>
      <c r="AR32" s="429"/>
      <c r="AS32" s="429"/>
      <c r="AT32" s="429"/>
      <c r="AU32" s="429"/>
      <c r="AV32" s="289"/>
      <c r="AW32" s="289"/>
      <c r="AX32" s="290"/>
      <c r="AY32" s="427"/>
      <c r="AZ32" s="289"/>
      <c r="BA32" s="289"/>
      <c r="BB32" s="289"/>
      <c r="BC32" s="289"/>
      <c r="BD32" s="289"/>
      <c r="BE32" s="289"/>
      <c r="BF32" s="289"/>
      <c r="BG32" s="289"/>
      <c r="BH32" s="290"/>
      <c r="BI32" s="461"/>
      <c r="BJ32" s="462"/>
      <c r="BK32" s="462"/>
      <c r="BL32" s="462"/>
      <c r="BM32" s="462"/>
      <c r="BN32" s="462"/>
      <c r="BO32" s="462"/>
      <c r="BP32" s="462"/>
      <c r="BQ32" s="462"/>
      <c r="BR32" s="462"/>
      <c r="BS32" s="462"/>
      <c r="BT32" s="462"/>
      <c r="BU32" s="462"/>
      <c r="BV32" s="462"/>
      <c r="BW32" s="462"/>
      <c r="BX32" s="462"/>
      <c r="BY32" s="462"/>
      <c r="BZ32" s="462"/>
      <c r="CA32" s="462"/>
      <c r="CB32" s="462"/>
      <c r="CC32" s="462"/>
      <c r="CD32" s="462"/>
      <c r="CE32" s="464"/>
      <c r="CF32" s="465"/>
      <c r="CG32" s="47"/>
    </row>
    <row r="33" spans="1:86" s="14" customFormat="1" ht="9.75" customHeight="1">
      <c r="A33" s="452">
        <v>4</v>
      </c>
      <c r="B33" s="286"/>
      <c r="C33" s="453" t="str">
        <f>IF(VLOOKUP(A33,①園入力用名簿!A:AF,4,0)="","",VLOOKUP(A33,①園入力用名簿!A:AF,4,0))</f>
        <v/>
      </c>
      <c r="D33" s="285"/>
      <c r="E33" s="285"/>
      <c r="F33" s="285"/>
      <c r="G33" s="285"/>
      <c r="H33" s="286"/>
      <c r="I33" s="452" t="str">
        <f>IF(VLOOKUP(A33,①園入力用名簿!A:AF,3,0)="","",VLOOKUP(A33,①園入力用名簿!A:AF,3,0))</f>
        <v/>
      </c>
      <c r="J33" s="285"/>
      <c r="K33" s="285"/>
      <c r="L33" s="285"/>
      <c r="M33" s="285"/>
      <c r="N33" s="285"/>
      <c r="O33" s="285"/>
      <c r="P33" s="285"/>
      <c r="Q33" s="285"/>
      <c r="R33" s="285"/>
      <c r="S33" s="286"/>
      <c r="T33" s="452" t="str">
        <f>IF(VLOOKUP(A33,①園入力用名簿!A:AF,21,0)="","",IF(VLOOKUP(A33,①園入力用名簿!A:AF,21,0)="月額契約","■ 月額契約","□ 月額契約"))</f>
        <v/>
      </c>
      <c r="U33" s="285"/>
      <c r="V33" s="285"/>
      <c r="W33" s="285"/>
      <c r="X33" s="285"/>
      <c r="Y33" s="285"/>
      <c r="Z33" s="454" t="str">
        <f>IF(VLOOKUP(A33,①園入力用名簿!A:AF,23,0)="","",VLOOKUP(A33,①園入力用名簿!A:AF,23,0))</f>
        <v/>
      </c>
      <c r="AA33" s="454"/>
      <c r="AB33" s="454"/>
      <c r="AC33" s="454"/>
      <c r="AD33" s="454"/>
      <c r="AE33" s="454"/>
      <c r="AF33" s="285" t="s">
        <v>26</v>
      </c>
      <c r="AG33" s="286"/>
      <c r="AH33" s="455" t="s">
        <v>48</v>
      </c>
      <c r="AI33" s="456"/>
      <c r="AJ33" s="456"/>
      <c r="AK33" s="456"/>
      <c r="AL33" s="48"/>
      <c r="AM33" s="457" t="str">
        <f>IF(VLOOKUP(A33,①園入力用名簿!A:W,7,0)="","",①園入力用名簿!H17&amp;①園入力用名簿!I17&amp;①園入力用名簿!J17&amp;①園入力用名簿!K17&amp;①園入力用名簿!L17&amp;①園入力用名簿!M17&amp;①園入力用名簿!N17)</f>
        <v/>
      </c>
      <c r="AN33" s="457"/>
      <c r="AO33" s="457"/>
      <c r="AP33" s="457"/>
      <c r="AQ33" s="457"/>
      <c r="AR33" s="457"/>
      <c r="AS33" s="457"/>
      <c r="AT33" s="457"/>
      <c r="AU33" s="457"/>
      <c r="AV33" s="457"/>
      <c r="AW33" s="457"/>
      <c r="AX33" s="25"/>
      <c r="AY33" s="452" t="str">
        <f>IF(OR(VLOOKUP(A33,①園入力用名簿!A:AF,28,0)&lt;&gt;$AP$6,VLOOKUP(A33,①園入力用名簿!A:AF,24,0)=""),"■ なし","□ なし")</f>
        <v>■ なし</v>
      </c>
      <c r="AZ33" s="285"/>
      <c r="BA33" s="285"/>
      <c r="BB33" s="285"/>
      <c r="BC33" s="43"/>
      <c r="BD33" s="43"/>
      <c r="BE33" s="43"/>
      <c r="BF33" s="43"/>
      <c r="BG33" s="43"/>
      <c r="BH33" s="44"/>
      <c r="BI33" s="432" t="str">
        <f>IF(VLOOKUP(A33,①園入力用名簿!A:AO,33,0)="","",VLOOKUP(A33,①園入力用名簿!A:AO,33,0))</f>
        <v/>
      </c>
      <c r="BJ33" s="433"/>
      <c r="BK33" s="433"/>
      <c r="BL33" s="433"/>
      <c r="BM33" s="433"/>
      <c r="BN33" s="433"/>
      <c r="BO33" s="433"/>
      <c r="BP33" s="433"/>
      <c r="BQ33" s="433"/>
      <c r="BR33" s="433"/>
      <c r="BS33" s="247" t="s">
        <v>26</v>
      </c>
      <c r="BT33" s="436"/>
      <c r="BU33" s="439" t="str">
        <f>IF(VLOOKUP(A33,①園入力用名簿!A:AO,34,0)="","",VLOOKUP(A33,①園入力用名簿!A:AO,34,0))</f>
        <v/>
      </c>
      <c r="BV33" s="433"/>
      <c r="BW33" s="433"/>
      <c r="BX33" s="433"/>
      <c r="BY33" s="433"/>
      <c r="BZ33" s="433"/>
      <c r="CA33" s="433"/>
      <c r="CB33" s="433"/>
      <c r="CC33" s="433"/>
      <c r="CD33" s="433"/>
      <c r="CE33" s="247" t="s">
        <v>26</v>
      </c>
      <c r="CF33" s="441"/>
      <c r="CG33" s="47"/>
    </row>
    <row r="34" spans="1:86" s="14" customFormat="1" ht="9.75" customHeight="1">
      <c r="A34" s="426"/>
      <c r="B34" s="288"/>
      <c r="C34" s="426"/>
      <c r="D34" s="287"/>
      <c r="E34" s="287"/>
      <c r="F34" s="287"/>
      <c r="G34" s="287"/>
      <c r="H34" s="288"/>
      <c r="I34" s="426"/>
      <c r="J34" s="287"/>
      <c r="K34" s="287"/>
      <c r="L34" s="287"/>
      <c r="M34" s="287"/>
      <c r="N34" s="287"/>
      <c r="O34" s="287"/>
      <c r="P34" s="287"/>
      <c r="Q34" s="287"/>
      <c r="R34" s="287"/>
      <c r="S34" s="288"/>
      <c r="T34" s="426"/>
      <c r="U34" s="287"/>
      <c r="V34" s="287"/>
      <c r="W34" s="287"/>
      <c r="X34" s="287"/>
      <c r="Y34" s="287"/>
      <c r="Z34" s="428"/>
      <c r="AA34" s="428"/>
      <c r="AB34" s="428"/>
      <c r="AC34" s="428"/>
      <c r="AD34" s="428"/>
      <c r="AE34" s="428"/>
      <c r="AF34" s="287"/>
      <c r="AG34" s="288"/>
      <c r="AH34" s="430"/>
      <c r="AI34" s="431"/>
      <c r="AJ34" s="431"/>
      <c r="AK34" s="431"/>
      <c r="AL34" s="49"/>
      <c r="AM34" s="458"/>
      <c r="AN34" s="458"/>
      <c r="AO34" s="458"/>
      <c r="AP34" s="458"/>
      <c r="AQ34" s="458"/>
      <c r="AR34" s="458"/>
      <c r="AS34" s="458"/>
      <c r="AT34" s="458"/>
      <c r="AU34" s="458"/>
      <c r="AV34" s="458"/>
      <c r="AW34" s="458"/>
      <c r="AX34" s="27"/>
      <c r="AY34" s="426"/>
      <c r="AZ34" s="287"/>
      <c r="BA34" s="287"/>
      <c r="BB34" s="287"/>
      <c r="BC34" s="45"/>
      <c r="BD34" s="45"/>
      <c r="BE34" s="45"/>
      <c r="BF34" s="45"/>
      <c r="BG34" s="45"/>
      <c r="BH34" s="46"/>
      <c r="BI34" s="434"/>
      <c r="BJ34" s="435"/>
      <c r="BK34" s="435"/>
      <c r="BL34" s="435"/>
      <c r="BM34" s="435"/>
      <c r="BN34" s="435"/>
      <c r="BO34" s="435"/>
      <c r="BP34" s="435"/>
      <c r="BQ34" s="435"/>
      <c r="BR34" s="435"/>
      <c r="BS34" s="437"/>
      <c r="BT34" s="438"/>
      <c r="BU34" s="440"/>
      <c r="BV34" s="435"/>
      <c r="BW34" s="435"/>
      <c r="BX34" s="435"/>
      <c r="BY34" s="435"/>
      <c r="BZ34" s="435"/>
      <c r="CA34" s="435"/>
      <c r="CB34" s="435"/>
      <c r="CC34" s="435"/>
      <c r="CD34" s="435"/>
      <c r="CE34" s="437"/>
      <c r="CF34" s="442"/>
      <c r="CG34" s="47"/>
    </row>
    <row r="35" spans="1:86" s="14" customFormat="1" ht="9.75" customHeight="1">
      <c r="A35" s="426"/>
      <c r="B35" s="288"/>
      <c r="C35" s="426"/>
      <c r="D35" s="287"/>
      <c r="E35" s="287"/>
      <c r="F35" s="287"/>
      <c r="G35" s="287"/>
      <c r="H35" s="288"/>
      <c r="I35" s="426" t="str">
        <f>IF(VLOOKUP(A33,①園入力用名簿!A:AF,2,0)="","",VLOOKUP(A33,①園入力用名簿!A:AF,2,0))</f>
        <v/>
      </c>
      <c r="J35" s="287"/>
      <c r="K35" s="287"/>
      <c r="L35" s="287"/>
      <c r="M35" s="287"/>
      <c r="N35" s="287"/>
      <c r="O35" s="287"/>
      <c r="P35" s="287"/>
      <c r="Q35" s="287"/>
      <c r="R35" s="287"/>
      <c r="S35" s="288"/>
      <c r="T35" s="426" t="str">
        <f>IF(VLOOKUP(A33,①園入力用名簿!A:AF,21,0)="","",IF(VLOOKUP(A33,①園入力用名簿!A:AF,21,0)="日額契約","■ 日額契約","□ 日額契約"))</f>
        <v/>
      </c>
      <c r="U35" s="287"/>
      <c r="V35" s="287"/>
      <c r="W35" s="287"/>
      <c r="X35" s="287"/>
      <c r="Y35" s="287"/>
      <c r="Z35" s="428"/>
      <c r="AA35" s="428"/>
      <c r="AB35" s="428"/>
      <c r="AC35" s="428"/>
      <c r="AD35" s="428"/>
      <c r="AE35" s="428"/>
      <c r="AF35" s="287"/>
      <c r="AG35" s="288"/>
      <c r="AH35" s="430" t="s">
        <v>49</v>
      </c>
      <c r="AI35" s="431"/>
      <c r="AJ35" s="431"/>
      <c r="AK35" s="431"/>
      <c r="AL35" s="45"/>
      <c r="AM35" s="287" t="str">
        <f>IF(VLOOKUP(A33,①園入力用名簿!A:W,22,0)="","□ 有","■ 有")</f>
        <v>□ 有</v>
      </c>
      <c r="AN35" s="287"/>
      <c r="AO35" s="287"/>
      <c r="AP35" s="287"/>
      <c r="AQ35" s="45"/>
      <c r="AR35" s="287" t="str">
        <f>IF(VLOOKUP(A33,①園入力用名簿!A:W,22,0)="","■ 無","□ 無")</f>
        <v>■ 無</v>
      </c>
      <c r="AS35" s="287"/>
      <c r="AT35" s="287"/>
      <c r="AU35" s="287"/>
      <c r="AV35" s="287" t="s">
        <v>54</v>
      </c>
      <c r="AW35" s="287"/>
      <c r="AX35" s="46"/>
      <c r="AY35" s="426" t="str">
        <f>IF(AND(VLOOKUP(A33,①園入力用名簿!A:AF,28,0)=$AP$6,VLOOKUP(A33,①園入力用名簿!A:AF,24,0)="入園"),"■ 入園","□ 入園")</f>
        <v>□ 入園</v>
      </c>
      <c r="AZ35" s="287"/>
      <c r="BA35" s="287"/>
      <c r="BB35" s="287"/>
      <c r="BC35" s="287" t="s">
        <v>55</v>
      </c>
      <c r="BD35" s="287" t="str">
        <f>IF(AND(VLOOKUP(A33,①園入力用名簿!A:AF,24,0)="入園",VLOOKUP(A33,①園入力用名簿!A:AF,28,0)=$AQ$6),VLOOKUP(A33,①園入力用名簿!A:AF,30,0),"")</f>
        <v/>
      </c>
      <c r="BE35" s="287"/>
      <c r="BF35" s="287" t="s">
        <v>57</v>
      </c>
      <c r="BG35" s="287"/>
      <c r="BH35" s="288" t="s">
        <v>56</v>
      </c>
      <c r="BI35" s="443" t="str">
        <f>IF(VLOOKUP(A33,①園入力用名簿!A:AF,2,0)="","",BI33+BU33)</f>
        <v/>
      </c>
      <c r="BJ35" s="444"/>
      <c r="BK35" s="444"/>
      <c r="BL35" s="444"/>
      <c r="BM35" s="444"/>
      <c r="BN35" s="444"/>
      <c r="BO35" s="444"/>
      <c r="BP35" s="444"/>
      <c r="BQ35" s="444"/>
      <c r="BR35" s="444"/>
      <c r="BS35" s="447" t="s">
        <v>26</v>
      </c>
      <c r="BT35" s="448"/>
      <c r="BU35" s="449" t="str">
        <f>IF(VLOOKUP(A33,①園入力用名簿!A:AO,35,0)="","",VLOOKUP(A33,①園入力用名簿!A:AO,35,0))</f>
        <v/>
      </c>
      <c r="BV35" s="450"/>
      <c r="BW35" s="450"/>
      <c r="BX35" s="450"/>
      <c r="BY35" s="450"/>
      <c r="BZ35" s="450"/>
      <c r="CA35" s="450"/>
      <c r="CB35" s="450"/>
      <c r="CC35" s="450"/>
      <c r="CD35" s="450"/>
      <c r="CE35" s="249" t="s">
        <v>26</v>
      </c>
      <c r="CF35" s="451"/>
      <c r="CG35" s="19"/>
      <c r="CH35" s="42"/>
    </row>
    <row r="36" spans="1:86" s="14" customFormat="1" ht="9.75" customHeight="1">
      <c r="A36" s="426"/>
      <c r="B36" s="288"/>
      <c r="C36" s="426"/>
      <c r="D36" s="287"/>
      <c r="E36" s="287"/>
      <c r="F36" s="287"/>
      <c r="G36" s="287"/>
      <c r="H36" s="288"/>
      <c r="I36" s="426"/>
      <c r="J36" s="287"/>
      <c r="K36" s="287"/>
      <c r="L36" s="287"/>
      <c r="M36" s="287"/>
      <c r="N36" s="287"/>
      <c r="O36" s="287"/>
      <c r="P36" s="287"/>
      <c r="Q36" s="287"/>
      <c r="R36" s="287"/>
      <c r="S36" s="288"/>
      <c r="T36" s="426"/>
      <c r="U36" s="287"/>
      <c r="V36" s="287"/>
      <c r="W36" s="287"/>
      <c r="X36" s="287"/>
      <c r="Y36" s="287"/>
      <c r="Z36" s="428"/>
      <c r="AA36" s="428"/>
      <c r="AB36" s="428"/>
      <c r="AC36" s="428"/>
      <c r="AD36" s="428"/>
      <c r="AE36" s="428"/>
      <c r="AF36" s="287"/>
      <c r="AG36" s="288"/>
      <c r="AH36" s="430"/>
      <c r="AI36" s="431"/>
      <c r="AJ36" s="431"/>
      <c r="AK36" s="431"/>
      <c r="AL36" s="45"/>
      <c r="AM36" s="287"/>
      <c r="AN36" s="287"/>
      <c r="AO36" s="287"/>
      <c r="AP36" s="287"/>
      <c r="AQ36" s="45"/>
      <c r="AR36" s="287"/>
      <c r="AS36" s="287"/>
      <c r="AT36" s="287"/>
      <c r="AU36" s="287"/>
      <c r="AV36" s="287"/>
      <c r="AW36" s="287"/>
      <c r="AX36" s="46"/>
      <c r="AY36" s="426"/>
      <c r="AZ36" s="287"/>
      <c r="BA36" s="287"/>
      <c r="BB36" s="287"/>
      <c r="BC36" s="287"/>
      <c r="BD36" s="287"/>
      <c r="BE36" s="287"/>
      <c r="BF36" s="287"/>
      <c r="BG36" s="287"/>
      <c r="BH36" s="288"/>
      <c r="BI36" s="445"/>
      <c r="BJ36" s="446"/>
      <c r="BK36" s="446"/>
      <c r="BL36" s="446"/>
      <c r="BM36" s="446"/>
      <c r="BN36" s="446"/>
      <c r="BO36" s="446"/>
      <c r="BP36" s="446"/>
      <c r="BQ36" s="446"/>
      <c r="BR36" s="446"/>
      <c r="BS36" s="437"/>
      <c r="BT36" s="438"/>
      <c r="BU36" s="440"/>
      <c r="BV36" s="435"/>
      <c r="BW36" s="435"/>
      <c r="BX36" s="435"/>
      <c r="BY36" s="435"/>
      <c r="BZ36" s="435"/>
      <c r="CA36" s="435"/>
      <c r="CB36" s="435"/>
      <c r="CC36" s="435"/>
      <c r="CD36" s="435"/>
      <c r="CE36" s="437"/>
      <c r="CF36" s="442"/>
      <c r="CG36" s="47"/>
    </row>
    <row r="37" spans="1:86" s="14" customFormat="1" ht="9.75" customHeight="1">
      <c r="A37" s="426"/>
      <c r="B37" s="288"/>
      <c r="C37" s="426"/>
      <c r="D37" s="287"/>
      <c r="E37" s="287"/>
      <c r="F37" s="287"/>
      <c r="G37" s="287"/>
      <c r="H37" s="288"/>
      <c r="I37" s="426"/>
      <c r="J37" s="287"/>
      <c r="K37" s="287"/>
      <c r="L37" s="287"/>
      <c r="M37" s="287"/>
      <c r="N37" s="287"/>
      <c r="O37" s="287"/>
      <c r="P37" s="287"/>
      <c r="Q37" s="287"/>
      <c r="R37" s="287"/>
      <c r="S37" s="288"/>
      <c r="T37" s="426" t="str">
        <f>IF(VLOOKUP(A33,①園入力用名簿!A:AF,21,0)="","",IF(VLOOKUP(A33,①園入力用名簿!A:AF,21,0)="時間契約","■ 時間契約","□ 時間契約"))</f>
        <v/>
      </c>
      <c r="U37" s="287"/>
      <c r="V37" s="287"/>
      <c r="W37" s="287"/>
      <c r="X37" s="287"/>
      <c r="Y37" s="287"/>
      <c r="Z37" s="428"/>
      <c r="AA37" s="428"/>
      <c r="AB37" s="428"/>
      <c r="AC37" s="428"/>
      <c r="AD37" s="428"/>
      <c r="AE37" s="428"/>
      <c r="AF37" s="287"/>
      <c r="AG37" s="288"/>
      <c r="AH37" s="426" t="s">
        <v>50</v>
      </c>
      <c r="AI37" s="287" t="s">
        <v>51</v>
      </c>
      <c r="AJ37" s="287"/>
      <c r="AK37" s="287"/>
      <c r="AL37" s="287"/>
      <c r="AM37" s="287"/>
      <c r="AN37" s="428" t="str">
        <f>IF(VLOOKUP(A33,①園入力用名簿!A:W,22,0)="","",VLOOKUP(A33,①園入力用名簿!A:W,22,0))</f>
        <v/>
      </c>
      <c r="AO37" s="428"/>
      <c r="AP37" s="428"/>
      <c r="AQ37" s="428"/>
      <c r="AR37" s="428"/>
      <c r="AS37" s="428"/>
      <c r="AT37" s="428"/>
      <c r="AU37" s="428"/>
      <c r="AV37" s="287" t="s">
        <v>26</v>
      </c>
      <c r="AW37" s="287"/>
      <c r="AX37" s="288" t="s">
        <v>53</v>
      </c>
      <c r="AY37" s="426" t="str">
        <f>IF(AND(VLOOKUP(A33,①園入力用名簿!A:AF,28,0)=$AP$6,VLOOKUP(A33,①園入力用名簿!A:AF,24,0)="退園"),"■ 退園","□ 退園")</f>
        <v>□ 退園</v>
      </c>
      <c r="AZ37" s="287"/>
      <c r="BA37" s="287"/>
      <c r="BB37" s="287"/>
      <c r="BC37" s="287" t="s">
        <v>55</v>
      </c>
      <c r="BD37" s="287" t="str">
        <f>IF(AND(VLOOKUP(A33,①園入力用名簿!A:AF,24,0)="退園",VLOOKUP(A33,①園入力用名簿!A:AF,28,0)=$AQ$6),VLOOKUP(A33,①園入力用名簿!A:AF,30,0),"")</f>
        <v/>
      </c>
      <c r="BE37" s="287"/>
      <c r="BF37" s="287" t="s">
        <v>57</v>
      </c>
      <c r="BG37" s="287"/>
      <c r="BH37" s="288" t="s">
        <v>56</v>
      </c>
      <c r="BI37" s="459" t="str">
        <f>IF(VLOOKUP(A33,①園入力用名簿!A:AF,2,0)="","",VLOOKUP(A33,①園入力用名簿!A:AO,41,0))</f>
        <v/>
      </c>
      <c r="BJ37" s="460"/>
      <c r="BK37" s="460"/>
      <c r="BL37" s="460"/>
      <c r="BM37" s="460"/>
      <c r="BN37" s="460"/>
      <c r="BO37" s="460"/>
      <c r="BP37" s="460"/>
      <c r="BQ37" s="460"/>
      <c r="BR37" s="460"/>
      <c r="BS37" s="460"/>
      <c r="BT37" s="460"/>
      <c r="BU37" s="460"/>
      <c r="BV37" s="460"/>
      <c r="BW37" s="460"/>
      <c r="BX37" s="460"/>
      <c r="BY37" s="460"/>
      <c r="BZ37" s="460"/>
      <c r="CA37" s="460"/>
      <c r="CB37" s="460"/>
      <c r="CC37" s="460"/>
      <c r="CD37" s="460"/>
      <c r="CE37" s="447" t="s">
        <v>26</v>
      </c>
      <c r="CF37" s="463"/>
      <c r="CG37" s="47"/>
    </row>
    <row r="38" spans="1:86" s="14" customFormat="1" ht="9.75" customHeight="1" thickBot="1">
      <c r="A38" s="427"/>
      <c r="B38" s="290"/>
      <c r="C38" s="427"/>
      <c r="D38" s="289"/>
      <c r="E38" s="289"/>
      <c r="F38" s="289"/>
      <c r="G38" s="289"/>
      <c r="H38" s="290"/>
      <c r="I38" s="427"/>
      <c r="J38" s="289"/>
      <c r="K38" s="289"/>
      <c r="L38" s="289"/>
      <c r="M38" s="289"/>
      <c r="N38" s="289"/>
      <c r="O38" s="289"/>
      <c r="P38" s="289"/>
      <c r="Q38" s="289"/>
      <c r="R38" s="289"/>
      <c r="S38" s="290"/>
      <c r="T38" s="427"/>
      <c r="U38" s="289"/>
      <c r="V38" s="289"/>
      <c r="W38" s="289"/>
      <c r="X38" s="289"/>
      <c r="Y38" s="289"/>
      <c r="Z38" s="429"/>
      <c r="AA38" s="429"/>
      <c r="AB38" s="429"/>
      <c r="AC38" s="429"/>
      <c r="AD38" s="429"/>
      <c r="AE38" s="429"/>
      <c r="AF38" s="289"/>
      <c r="AG38" s="290"/>
      <c r="AH38" s="427"/>
      <c r="AI38" s="289"/>
      <c r="AJ38" s="289"/>
      <c r="AK38" s="289"/>
      <c r="AL38" s="289"/>
      <c r="AM38" s="289"/>
      <c r="AN38" s="429"/>
      <c r="AO38" s="429"/>
      <c r="AP38" s="429"/>
      <c r="AQ38" s="429"/>
      <c r="AR38" s="429"/>
      <c r="AS38" s="429"/>
      <c r="AT38" s="429"/>
      <c r="AU38" s="429"/>
      <c r="AV38" s="289"/>
      <c r="AW38" s="289"/>
      <c r="AX38" s="290"/>
      <c r="AY38" s="427"/>
      <c r="AZ38" s="289"/>
      <c r="BA38" s="289"/>
      <c r="BB38" s="289"/>
      <c r="BC38" s="289"/>
      <c r="BD38" s="289"/>
      <c r="BE38" s="289"/>
      <c r="BF38" s="289"/>
      <c r="BG38" s="289"/>
      <c r="BH38" s="290"/>
      <c r="BI38" s="461"/>
      <c r="BJ38" s="462"/>
      <c r="BK38" s="462"/>
      <c r="BL38" s="462"/>
      <c r="BM38" s="462"/>
      <c r="BN38" s="462"/>
      <c r="BO38" s="462"/>
      <c r="BP38" s="462"/>
      <c r="BQ38" s="462"/>
      <c r="BR38" s="462"/>
      <c r="BS38" s="462"/>
      <c r="BT38" s="462"/>
      <c r="BU38" s="462"/>
      <c r="BV38" s="462"/>
      <c r="BW38" s="462"/>
      <c r="BX38" s="462"/>
      <c r="BY38" s="462"/>
      <c r="BZ38" s="462"/>
      <c r="CA38" s="462"/>
      <c r="CB38" s="462"/>
      <c r="CC38" s="462"/>
      <c r="CD38" s="462"/>
      <c r="CE38" s="464"/>
      <c r="CF38" s="465"/>
      <c r="CG38" s="47"/>
    </row>
    <row r="39" spans="1:86" s="14" customFormat="1" ht="9.75" customHeight="1">
      <c r="A39" s="452">
        <v>5</v>
      </c>
      <c r="B39" s="286"/>
      <c r="C39" s="453" t="str">
        <f>IF(VLOOKUP(A39,①園入力用名簿!A:AF,4,0)="","",VLOOKUP(A39,①園入力用名簿!A:AF,4,0))</f>
        <v/>
      </c>
      <c r="D39" s="285"/>
      <c r="E39" s="285"/>
      <c r="F39" s="285"/>
      <c r="G39" s="285"/>
      <c r="H39" s="286"/>
      <c r="I39" s="452" t="str">
        <f>IF(VLOOKUP(A39,①園入力用名簿!A:AF,3,0)="","",VLOOKUP(A39,①園入力用名簿!A:AF,3,0))</f>
        <v/>
      </c>
      <c r="J39" s="285"/>
      <c r="K39" s="285"/>
      <c r="L39" s="285"/>
      <c r="M39" s="285"/>
      <c r="N39" s="285"/>
      <c r="O39" s="285"/>
      <c r="P39" s="285"/>
      <c r="Q39" s="285"/>
      <c r="R39" s="285"/>
      <c r="S39" s="286"/>
      <c r="T39" s="452" t="str">
        <f>IF(VLOOKUP(A39,①園入力用名簿!A:AF,21,0)="","",IF(VLOOKUP(A39,①園入力用名簿!A:AF,21,0)="月額契約","■ 月額契約","□ 月額契約"))</f>
        <v/>
      </c>
      <c r="U39" s="285"/>
      <c r="V39" s="285"/>
      <c r="W39" s="285"/>
      <c r="X39" s="285"/>
      <c r="Y39" s="285"/>
      <c r="Z39" s="454" t="str">
        <f>IF(VLOOKUP(A39,①園入力用名簿!A:AF,23,0)="","",VLOOKUP(A39,①園入力用名簿!A:AF,23,0))</f>
        <v/>
      </c>
      <c r="AA39" s="454"/>
      <c r="AB39" s="454"/>
      <c r="AC39" s="454"/>
      <c r="AD39" s="454"/>
      <c r="AE39" s="454"/>
      <c r="AF39" s="285" t="s">
        <v>26</v>
      </c>
      <c r="AG39" s="286"/>
      <c r="AH39" s="455" t="s">
        <v>48</v>
      </c>
      <c r="AI39" s="456"/>
      <c r="AJ39" s="456"/>
      <c r="AK39" s="456"/>
      <c r="AL39" s="48"/>
      <c r="AM39" s="457" t="str">
        <f>IF(VLOOKUP(A39,①園入力用名簿!A:W,7,0)="","",①園入力用名簿!H18&amp;①園入力用名簿!I18&amp;①園入力用名簿!J18&amp;①園入力用名簿!K18&amp;①園入力用名簿!L18&amp;①園入力用名簿!M18&amp;①園入力用名簿!N18)</f>
        <v/>
      </c>
      <c r="AN39" s="457"/>
      <c r="AO39" s="457"/>
      <c r="AP39" s="457"/>
      <c r="AQ39" s="457"/>
      <c r="AR39" s="457"/>
      <c r="AS39" s="457"/>
      <c r="AT39" s="457"/>
      <c r="AU39" s="457"/>
      <c r="AV39" s="457"/>
      <c r="AW39" s="457"/>
      <c r="AX39" s="25"/>
      <c r="AY39" s="452" t="str">
        <f>IF(OR(VLOOKUP(A39,①園入力用名簿!A:AF,28,0)&lt;&gt;$AP$6,VLOOKUP(A39,①園入力用名簿!A:AF,24,0)=""),"■ なし","□ なし")</f>
        <v>■ なし</v>
      </c>
      <c r="AZ39" s="285"/>
      <c r="BA39" s="285"/>
      <c r="BB39" s="285"/>
      <c r="BC39" s="43"/>
      <c r="BD39" s="43"/>
      <c r="BE39" s="43"/>
      <c r="BF39" s="43"/>
      <c r="BG39" s="43"/>
      <c r="BH39" s="44"/>
      <c r="BI39" s="432" t="str">
        <f>IF(VLOOKUP(A39,①園入力用名簿!A:AO,33,0)="","",VLOOKUP(A39,①園入力用名簿!A:AO,33,0))</f>
        <v/>
      </c>
      <c r="BJ39" s="433"/>
      <c r="BK39" s="433"/>
      <c r="BL39" s="433"/>
      <c r="BM39" s="433"/>
      <c r="BN39" s="433"/>
      <c r="BO39" s="433"/>
      <c r="BP39" s="433"/>
      <c r="BQ39" s="433"/>
      <c r="BR39" s="433"/>
      <c r="BS39" s="247" t="s">
        <v>26</v>
      </c>
      <c r="BT39" s="436"/>
      <c r="BU39" s="439" t="str">
        <f>IF(VLOOKUP(A39,①園入力用名簿!A:AO,34,0)="","",VLOOKUP(A39,①園入力用名簿!A:AO,34,0))</f>
        <v/>
      </c>
      <c r="BV39" s="433"/>
      <c r="BW39" s="433"/>
      <c r="BX39" s="433"/>
      <c r="BY39" s="433"/>
      <c r="BZ39" s="433"/>
      <c r="CA39" s="433"/>
      <c r="CB39" s="433"/>
      <c r="CC39" s="433"/>
      <c r="CD39" s="433"/>
      <c r="CE39" s="247" t="s">
        <v>26</v>
      </c>
      <c r="CF39" s="441"/>
      <c r="CG39" s="47"/>
    </row>
    <row r="40" spans="1:86" s="14" customFormat="1" ht="9.75" customHeight="1">
      <c r="A40" s="426"/>
      <c r="B40" s="288"/>
      <c r="C40" s="426"/>
      <c r="D40" s="287"/>
      <c r="E40" s="287"/>
      <c r="F40" s="287"/>
      <c r="G40" s="287"/>
      <c r="H40" s="288"/>
      <c r="I40" s="426"/>
      <c r="J40" s="287"/>
      <c r="K40" s="287"/>
      <c r="L40" s="287"/>
      <c r="M40" s="287"/>
      <c r="N40" s="287"/>
      <c r="O40" s="287"/>
      <c r="P40" s="287"/>
      <c r="Q40" s="287"/>
      <c r="R40" s="287"/>
      <c r="S40" s="288"/>
      <c r="T40" s="426"/>
      <c r="U40" s="287"/>
      <c r="V40" s="287"/>
      <c r="W40" s="287"/>
      <c r="X40" s="287"/>
      <c r="Y40" s="287"/>
      <c r="Z40" s="428"/>
      <c r="AA40" s="428"/>
      <c r="AB40" s="428"/>
      <c r="AC40" s="428"/>
      <c r="AD40" s="428"/>
      <c r="AE40" s="428"/>
      <c r="AF40" s="287"/>
      <c r="AG40" s="288"/>
      <c r="AH40" s="430"/>
      <c r="AI40" s="431"/>
      <c r="AJ40" s="431"/>
      <c r="AK40" s="431"/>
      <c r="AL40" s="49"/>
      <c r="AM40" s="458"/>
      <c r="AN40" s="458"/>
      <c r="AO40" s="458"/>
      <c r="AP40" s="458"/>
      <c r="AQ40" s="458"/>
      <c r="AR40" s="458"/>
      <c r="AS40" s="458"/>
      <c r="AT40" s="458"/>
      <c r="AU40" s="458"/>
      <c r="AV40" s="458"/>
      <c r="AW40" s="458"/>
      <c r="AX40" s="27"/>
      <c r="AY40" s="426"/>
      <c r="AZ40" s="287"/>
      <c r="BA40" s="287"/>
      <c r="BB40" s="287"/>
      <c r="BC40" s="45"/>
      <c r="BD40" s="45"/>
      <c r="BE40" s="45"/>
      <c r="BF40" s="45"/>
      <c r="BG40" s="45"/>
      <c r="BH40" s="46"/>
      <c r="BI40" s="434"/>
      <c r="BJ40" s="435"/>
      <c r="BK40" s="435"/>
      <c r="BL40" s="435"/>
      <c r="BM40" s="435"/>
      <c r="BN40" s="435"/>
      <c r="BO40" s="435"/>
      <c r="BP40" s="435"/>
      <c r="BQ40" s="435"/>
      <c r="BR40" s="435"/>
      <c r="BS40" s="437"/>
      <c r="BT40" s="438"/>
      <c r="BU40" s="440"/>
      <c r="BV40" s="435"/>
      <c r="BW40" s="435"/>
      <c r="BX40" s="435"/>
      <c r="BY40" s="435"/>
      <c r="BZ40" s="435"/>
      <c r="CA40" s="435"/>
      <c r="CB40" s="435"/>
      <c r="CC40" s="435"/>
      <c r="CD40" s="435"/>
      <c r="CE40" s="437"/>
      <c r="CF40" s="442"/>
      <c r="CG40" s="47"/>
    </row>
    <row r="41" spans="1:86" s="14" customFormat="1" ht="9.75" customHeight="1">
      <c r="A41" s="426"/>
      <c r="B41" s="288"/>
      <c r="C41" s="426"/>
      <c r="D41" s="287"/>
      <c r="E41" s="287"/>
      <c r="F41" s="287"/>
      <c r="G41" s="287"/>
      <c r="H41" s="288"/>
      <c r="I41" s="426" t="str">
        <f>IF(VLOOKUP(A39,①園入力用名簿!A:AF,2,0)="","",VLOOKUP(A39,①園入力用名簿!A:AF,2,0))</f>
        <v/>
      </c>
      <c r="J41" s="287"/>
      <c r="K41" s="287"/>
      <c r="L41" s="287"/>
      <c r="M41" s="287"/>
      <c r="N41" s="287"/>
      <c r="O41" s="287"/>
      <c r="P41" s="287"/>
      <c r="Q41" s="287"/>
      <c r="R41" s="287"/>
      <c r="S41" s="288"/>
      <c r="T41" s="426" t="str">
        <f>IF(VLOOKUP(A39,①園入力用名簿!A:AF,21,0)="","",IF(VLOOKUP(A39,①園入力用名簿!A:AF,21,0)="日額契約","■ 日額契約","□ 日額契約"))</f>
        <v/>
      </c>
      <c r="U41" s="287"/>
      <c r="V41" s="287"/>
      <c r="W41" s="287"/>
      <c r="X41" s="287"/>
      <c r="Y41" s="287"/>
      <c r="Z41" s="428"/>
      <c r="AA41" s="428"/>
      <c r="AB41" s="428"/>
      <c r="AC41" s="428"/>
      <c r="AD41" s="428"/>
      <c r="AE41" s="428"/>
      <c r="AF41" s="287"/>
      <c r="AG41" s="288"/>
      <c r="AH41" s="430" t="s">
        <v>49</v>
      </c>
      <c r="AI41" s="431"/>
      <c r="AJ41" s="431"/>
      <c r="AK41" s="431"/>
      <c r="AL41" s="45"/>
      <c r="AM41" s="287" t="str">
        <f>IF(VLOOKUP(A39,①園入力用名簿!A:W,22,0)="","□ 有","■ 有")</f>
        <v>□ 有</v>
      </c>
      <c r="AN41" s="287"/>
      <c r="AO41" s="287"/>
      <c r="AP41" s="287"/>
      <c r="AQ41" s="45"/>
      <c r="AR41" s="287" t="str">
        <f>IF(VLOOKUP(A39,①園入力用名簿!A:W,22,0)="","■ 無","□ 無")</f>
        <v>■ 無</v>
      </c>
      <c r="AS41" s="287"/>
      <c r="AT41" s="287"/>
      <c r="AU41" s="287"/>
      <c r="AV41" s="287" t="s">
        <v>54</v>
      </c>
      <c r="AW41" s="287"/>
      <c r="AX41" s="46"/>
      <c r="AY41" s="426" t="str">
        <f>IF(AND(VLOOKUP(A39,①園入力用名簿!A:AF,28,0)=$AP$6,VLOOKUP(A39,①園入力用名簿!A:AF,24,0)="入園"),"■ 入園","□ 入園")</f>
        <v>□ 入園</v>
      </c>
      <c r="AZ41" s="287"/>
      <c r="BA41" s="287"/>
      <c r="BB41" s="287"/>
      <c r="BC41" s="287" t="s">
        <v>55</v>
      </c>
      <c r="BD41" s="287" t="str">
        <f>IF(AND(VLOOKUP(A39,①園入力用名簿!A:AF,24,0)="入園",VLOOKUP(A39,①園入力用名簿!A:AF,28,0)=$AQ$6),VLOOKUP(A39,①園入力用名簿!A:AF,30,0),"")</f>
        <v/>
      </c>
      <c r="BE41" s="287"/>
      <c r="BF41" s="287" t="s">
        <v>57</v>
      </c>
      <c r="BG41" s="287"/>
      <c r="BH41" s="288" t="s">
        <v>56</v>
      </c>
      <c r="BI41" s="443" t="str">
        <f>IF(VLOOKUP(A39,①園入力用名簿!A:AF,2,0)="","",BI39+BU39)</f>
        <v/>
      </c>
      <c r="BJ41" s="444"/>
      <c r="BK41" s="444"/>
      <c r="BL41" s="444"/>
      <c r="BM41" s="444"/>
      <c r="BN41" s="444"/>
      <c r="BO41" s="444"/>
      <c r="BP41" s="444"/>
      <c r="BQ41" s="444"/>
      <c r="BR41" s="444"/>
      <c r="BS41" s="447" t="s">
        <v>26</v>
      </c>
      <c r="BT41" s="448"/>
      <c r="BU41" s="449" t="str">
        <f>IF(VLOOKUP(A39,①園入力用名簿!A:AO,35,0)="","",VLOOKUP(A39,①園入力用名簿!A:AO,35,0))</f>
        <v/>
      </c>
      <c r="BV41" s="450"/>
      <c r="BW41" s="450"/>
      <c r="BX41" s="450"/>
      <c r="BY41" s="450"/>
      <c r="BZ41" s="450"/>
      <c r="CA41" s="450"/>
      <c r="CB41" s="450"/>
      <c r="CC41" s="450"/>
      <c r="CD41" s="450"/>
      <c r="CE41" s="249" t="s">
        <v>26</v>
      </c>
      <c r="CF41" s="451"/>
      <c r="CG41" s="19"/>
      <c r="CH41" s="42"/>
    </row>
    <row r="42" spans="1:86" s="14" customFormat="1" ht="9.75" customHeight="1">
      <c r="A42" s="426"/>
      <c r="B42" s="288"/>
      <c r="C42" s="426"/>
      <c r="D42" s="287"/>
      <c r="E42" s="287"/>
      <c r="F42" s="287"/>
      <c r="G42" s="287"/>
      <c r="H42" s="288"/>
      <c r="I42" s="426"/>
      <c r="J42" s="287"/>
      <c r="K42" s="287"/>
      <c r="L42" s="287"/>
      <c r="M42" s="287"/>
      <c r="N42" s="287"/>
      <c r="O42" s="287"/>
      <c r="P42" s="287"/>
      <c r="Q42" s="287"/>
      <c r="R42" s="287"/>
      <c r="S42" s="288"/>
      <c r="T42" s="426"/>
      <c r="U42" s="287"/>
      <c r="V42" s="287"/>
      <c r="W42" s="287"/>
      <c r="X42" s="287"/>
      <c r="Y42" s="287"/>
      <c r="Z42" s="428"/>
      <c r="AA42" s="428"/>
      <c r="AB42" s="428"/>
      <c r="AC42" s="428"/>
      <c r="AD42" s="428"/>
      <c r="AE42" s="428"/>
      <c r="AF42" s="287"/>
      <c r="AG42" s="288"/>
      <c r="AH42" s="430"/>
      <c r="AI42" s="431"/>
      <c r="AJ42" s="431"/>
      <c r="AK42" s="431"/>
      <c r="AL42" s="45"/>
      <c r="AM42" s="287"/>
      <c r="AN42" s="287"/>
      <c r="AO42" s="287"/>
      <c r="AP42" s="287"/>
      <c r="AQ42" s="45"/>
      <c r="AR42" s="287"/>
      <c r="AS42" s="287"/>
      <c r="AT42" s="287"/>
      <c r="AU42" s="287"/>
      <c r="AV42" s="287"/>
      <c r="AW42" s="287"/>
      <c r="AX42" s="46"/>
      <c r="AY42" s="426"/>
      <c r="AZ42" s="287"/>
      <c r="BA42" s="287"/>
      <c r="BB42" s="287"/>
      <c r="BC42" s="287"/>
      <c r="BD42" s="287"/>
      <c r="BE42" s="287"/>
      <c r="BF42" s="287"/>
      <c r="BG42" s="287"/>
      <c r="BH42" s="288"/>
      <c r="BI42" s="445"/>
      <c r="BJ42" s="446"/>
      <c r="BK42" s="446"/>
      <c r="BL42" s="446"/>
      <c r="BM42" s="446"/>
      <c r="BN42" s="446"/>
      <c r="BO42" s="446"/>
      <c r="BP42" s="446"/>
      <c r="BQ42" s="446"/>
      <c r="BR42" s="446"/>
      <c r="BS42" s="437"/>
      <c r="BT42" s="438"/>
      <c r="BU42" s="440"/>
      <c r="BV42" s="435"/>
      <c r="BW42" s="435"/>
      <c r="BX42" s="435"/>
      <c r="BY42" s="435"/>
      <c r="BZ42" s="435"/>
      <c r="CA42" s="435"/>
      <c r="CB42" s="435"/>
      <c r="CC42" s="435"/>
      <c r="CD42" s="435"/>
      <c r="CE42" s="437"/>
      <c r="CF42" s="442"/>
      <c r="CG42" s="47"/>
    </row>
    <row r="43" spans="1:86" s="14" customFormat="1" ht="9.75" customHeight="1">
      <c r="A43" s="426"/>
      <c r="B43" s="288"/>
      <c r="C43" s="426"/>
      <c r="D43" s="287"/>
      <c r="E43" s="287"/>
      <c r="F43" s="287"/>
      <c r="G43" s="287"/>
      <c r="H43" s="288"/>
      <c r="I43" s="426"/>
      <c r="J43" s="287"/>
      <c r="K43" s="287"/>
      <c r="L43" s="287"/>
      <c r="M43" s="287"/>
      <c r="N43" s="287"/>
      <c r="O43" s="287"/>
      <c r="P43" s="287"/>
      <c r="Q43" s="287"/>
      <c r="R43" s="287"/>
      <c r="S43" s="288"/>
      <c r="T43" s="426" t="str">
        <f>IF(VLOOKUP(A39,①園入力用名簿!A:AF,21,0)="","",IF(VLOOKUP(A39,①園入力用名簿!A:AF,21,0)="時間契約","■ 時間契約","□ 時間契約"))</f>
        <v/>
      </c>
      <c r="U43" s="287"/>
      <c r="V43" s="287"/>
      <c r="W43" s="287"/>
      <c r="X43" s="287"/>
      <c r="Y43" s="287"/>
      <c r="Z43" s="428"/>
      <c r="AA43" s="428"/>
      <c r="AB43" s="428"/>
      <c r="AC43" s="428"/>
      <c r="AD43" s="428"/>
      <c r="AE43" s="428"/>
      <c r="AF43" s="287"/>
      <c r="AG43" s="288"/>
      <c r="AH43" s="426" t="s">
        <v>50</v>
      </c>
      <c r="AI43" s="287" t="s">
        <v>51</v>
      </c>
      <c r="AJ43" s="287"/>
      <c r="AK43" s="287"/>
      <c r="AL43" s="287"/>
      <c r="AM43" s="287"/>
      <c r="AN43" s="428" t="str">
        <f>IF(VLOOKUP(A39,①園入力用名簿!A:W,22,0)="","",VLOOKUP(A39,①園入力用名簿!A:W,22,0))</f>
        <v/>
      </c>
      <c r="AO43" s="428"/>
      <c r="AP43" s="428"/>
      <c r="AQ43" s="428"/>
      <c r="AR43" s="428"/>
      <c r="AS43" s="428"/>
      <c r="AT43" s="428"/>
      <c r="AU43" s="428"/>
      <c r="AV43" s="287" t="s">
        <v>26</v>
      </c>
      <c r="AW43" s="287"/>
      <c r="AX43" s="288" t="s">
        <v>53</v>
      </c>
      <c r="AY43" s="426" t="str">
        <f>IF(AND(VLOOKUP(A39,①園入力用名簿!A:AF,28,0)=$AP$6,VLOOKUP(A39,①園入力用名簿!A:AF,24,0)="退園"),"■ 退園","□ 退園")</f>
        <v>□ 退園</v>
      </c>
      <c r="AZ43" s="287"/>
      <c r="BA43" s="287"/>
      <c r="BB43" s="287"/>
      <c r="BC43" s="287" t="s">
        <v>55</v>
      </c>
      <c r="BD43" s="287" t="str">
        <f>IF(AND(VLOOKUP(A39,①園入力用名簿!A:AF,24,0)="退園",VLOOKUP(A39,①園入力用名簿!A:AF,28,0)=$AQ$6),VLOOKUP(A39,①園入力用名簿!A:AF,30,0),"")</f>
        <v/>
      </c>
      <c r="BE43" s="287"/>
      <c r="BF43" s="287" t="s">
        <v>57</v>
      </c>
      <c r="BG43" s="287"/>
      <c r="BH43" s="288" t="s">
        <v>56</v>
      </c>
      <c r="BI43" s="459" t="str">
        <f>IF(VLOOKUP(A39,①園入力用名簿!A:AF,2,0)="","",VLOOKUP(A39,①園入力用名簿!A:AO,41,0))</f>
        <v/>
      </c>
      <c r="BJ43" s="460"/>
      <c r="BK43" s="460"/>
      <c r="BL43" s="460"/>
      <c r="BM43" s="460"/>
      <c r="BN43" s="460"/>
      <c r="BO43" s="460"/>
      <c r="BP43" s="460"/>
      <c r="BQ43" s="460"/>
      <c r="BR43" s="460"/>
      <c r="BS43" s="460"/>
      <c r="BT43" s="460"/>
      <c r="BU43" s="460"/>
      <c r="BV43" s="460"/>
      <c r="BW43" s="460"/>
      <c r="BX43" s="460"/>
      <c r="BY43" s="460"/>
      <c r="BZ43" s="460"/>
      <c r="CA43" s="460"/>
      <c r="CB43" s="460"/>
      <c r="CC43" s="460"/>
      <c r="CD43" s="460"/>
      <c r="CE43" s="447" t="s">
        <v>26</v>
      </c>
      <c r="CF43" s="463"/>
      <c r="CG43" s="47"/>
    </row>
    <row r="44" spans="1:86" s="14" customFormat="1" ht="9.75" customHeight="1" thickBot="1">
      <c r="A44" s="427"/>
      <c r="B44" s="290"/>
      <c r="C44" s="427"/>
      <c r="D44" s="289"/>
      <c r="E44" s="289"/>
      <c r="F44" s="289"/>
      <c r="G44" s="289"/>
      <c r="H44" s="290"/>
      <c r="I44" s="427"/>
      <c r="J44" s="289"/>
      <c r="K44" s="289"/>
      <c r="L44" s="289"/>
      <c r="M44" s="289"/>
      <c r="N44" s="289"/>
      <c r="O44" s="289"/>
      <c r="P44" s="289"/>
      <c r="Q44" s="289"/>
      <c r="R44" s="289"/>
      <c r="S44" s="290"/>
      <c r="T44" s="427"/>
      <c r="U44" s="289"/>
      <c r="V44" s="289"/>
      <c r="W44" s="289"/>
      <c r="X44" s="289"/>
      <c r="Y44" s="289"/>
      <c r="Z44" s="429"/>
      <c r="AA44" s="429"/>
      <c r="AB44" s="429"/>
      <c r="AC44" s="429"/>
      <c r="AD44" s="429"/>
      <c r="AE44" s="429"/>
      <c r="AF44" s="289"/>
      <c r="AG44" s="290"/>
      <c r="AH44" s="427"/>
      <c r="AI44" s="289"/>
      <c r="AJ44" s="289"/>
      <c r="AK44" s="289"/>
      <c r="AL44" s="289"/>
      <c r="AM44" s="289"/>
      <c r="AN44" s="429"/>
      <c r="AO44" s="429"/>
      <c r="AP44" s="429"/>
      <c r="AQ44" s="429"/>
      <c r="AR44" s="429"/>
      <c r="AS44" s="429"/>
      <c r="AT44" s="429"/>
      <c r="AU44" s="429"/>
      <c r="AV44" s="289"/>
      <c r="AW44" s="289"/>
      <c r="AX44" s="290"/>
      <c r="AY44" s="427"/>
      <c r="AZ44" s="289"/>
      <c r="BA44" s="289"/>
      <c r="BB44" s="289"/>
      <c r="BC44" s="289"/>
      <c r="BD44" s="289"/>
      <c r="BE44" s="289"/>
      <c r="BF44" s="289"/>
      <c r="BG44" s="289"/>
      <c r="BH44" s="290"/>
      <c r="BI44" s="461"/>
      <c r="BJ44" s="462"/>
      <c r="BK44" s="462"/>
      <c r="BL44" s="462"/>
      <c r="BM44" s="462"/>
      <c r="BN44" s="462"/>
      <c r="BO44" s="462"/>
      <c r="BP44" s="462"/>
      <c r="BQ44" s="462"/>
      <c r="BR44" s="462"/>
      <c r="BS44" s="462"/>
      <c r="BT44" s="462"/>
      <c r="BU44" s="462"/>
      <c r="BV44" s="462"/>
      <c r="BW44" s="462"/>
      <c r="BX44" s="462"/>
      <c r="BY44" s="462"/>
      <c r="BZ44" s="462"/>
      <c r="CA44" s="462"/>
      <c r="CB44" s="462"/>
      <c r="CC44" s="462"/>
      <c r="CD44" s="462"/>
      <c r="CE44" s="464"/>
      <c r="CF44" s="465"/>
      <c r="CG44" s="47"/>
    </row>
    <row r="45" spans="1:86" s="14" customFormat="1" ht="9.75" customHeight="1">
      <c r="A45" s="452">
        <v>6</v>
      </c>
      <c r="B45" s="286"/>
      <c r="C45" s="453" t="str">
        <f>IF(VLOOKUP(A45,①園入力用名簿!A:AF,4,0)="","",VLOOKUP(A45,①園入力用名簿!A:AF,4,0))</f>
        <v/>
      </c>
      <c r="D45" s="285"/>
      <c r="E45" s="285"/>
      <c r="F45" s="285"/>
      <c r="G45" s="285"/>
      <c r="H45" s="286"/>
      <c r="I45" s="452" t="str">
        <f>IF(VLOOKUP(A45,①園入力用名簿!A:AF,3,0)="","",VLOOKUP(A45,①園入力用名簿!A:AF,3,0))</f>
        <v/>
      </c>
      <c r="J45" s="285"/>
      <c r="K45" s="285"/>
      <c r="L45" s="285"/>
      <c r="M45" s="285"/>
      <c r="N45" s="285"/>
      <c r="O45" s="285"/>
      <c r="P45" s="285"/>
      <c r="Q45" s="285"/>
      <c r="R45" s="285"/>
      <c r="S45" s="286"/>
      <c r="T45" s="452" t="str">
        <f>IF(VLOOKUP(A45,①園入力用名簿!A:AF,21,0)="","",IF(VLOOKUP(A45,①園入力用名簿!A:AF,21,0)="月額契約","■ 月額契約","□ 月額契約"))</f>
        <v/>
      </c>
      <c r="U45" s="285"/>
      <c r="V45" s="285"/>
      <c r="W45" s="285"/>
      <c r="X45" s="285"/>
      <c r="Y45" s="285"/>
      <c r="Z45" s="454" t="str">
        <f>IF(VLOOKUP(A45,①園入力用名簿!A:AF,23,0)="","",VLOOKUP(A45,①園入力用名簿!A:AF,23,0))</f>
        <v/>
      </c>
      <c r="AA45" s="454"/>
      <c r="AB45" s="454"/>
      <c r="AC45" s="454"/>
      <c r="AD45" s="454"/>
      <c r="AE45" s="454"/>
      <c r="AF45" s="285" t="s">
        <v>26</v>
      </c>
      <c r="AG45" s="286"/>
      <c r="AH45" s="455" t="s">
        <v>48</v>
      </c>
      <c r="AI45" s="456"/>
      <c r="AJ45" s="456"/>
      <c r="AK45" s="456"/>
      <c r="AL45" s="48"/>
      <c r="AM45" s="457" t="str">
        <f>IF(VLOOKUP(A45,①園入力用名簿!A:W,7,0)="","",①園入力用名簿!H19&amp;①園入力用名簿!I19&amp;①園入力用名簿!J19&amp;①園入力用名簿!K19&amp;①園入力用名簿!L19&amp;①園入力用名簿!M19&amp;①園入力用名簿!N19)</f>
        <v/>
      </c>
      <c r="AN45" s="457"/>
      <c r="AO45" s="457"/>
      <c r="AP45" s="457"/>
      <c r="AQ45" s="457"/>
      <c r="AR45" s="457"/>
      <c r="AS45" s="457"/>
      <c r="AT45" s="457"/>
      <c r="AU45" s="457"/>
      <c r="AV45" s="457"/>
      <c r="AW45" s="457"/>
      <c r="AX45" s="25"/>
      <c r="AY45" s="452" t="str">
        <f>IF(OR(VLOOKUP(A45,①園入力用名簿!A:AF,28,0)&lt;&gt;$AP$6,VLOOKUP(A45,①園入力用名簿!A:AF,24,0)=""),"■ なし","□ なし")</f>
        <v>■ なし</v>
      </c>
      <c r="AZ45" s="285"/>
      <c r="BA45" s="285"/>
      <c r="BB45" s="285"/>
      <c r="BC45" s="43"/>
      <c r="BD45" s="43"/>
      <c r="BE45" s="43"/>
      <c r="BF45" s="43"/>
      <c r="BG45" s="43"/>
      <c r="BH45" s="44"/>
      <c r="BI45" s="432" t="str">
        <f>IF(VLOOKUP(A45,①園入力用名簿!A:AO,33,0)="","",VLOOKUP(A45,①園入力用名簿!A:AO,33,0))</f>
        <v/>
      </c>
      <c r="BJ45" s="433"/>
      <c r="BK45" s="433"/>
      <c r="BL45" s="433"/>
      <c r="BM45" s="433"/>
      <c r="BN45" s="433"/>
      <c r="BO45" s="433"/>
      <c r="BP45" s="433"/>
      <c r="BQ45" s="433"/>
      <c r="BR45" s="433"/>
      <c r="BS45" s="247" t="s">
        <v>26</v>
      </c>
      <c r="BT45" s="436"/>
      <c r="BU45" s="439" t="str">
        <f>IF(VLOOKUP(A45,①園入力用名簿!A:AO,34,0)="","",VLOOKUP(A45,①園入力用名簿!A:AO,34,0))</f>
        <v/>
      </c>
      <c r="BV45" s="433"/>
      <c r="BW45" s="433"/>
      <c r="BX45" s="433"/>
      <c r="BY45" s="433"/>
      <c r="BZ45" s="433"/>
      <c r="CA45" s="433"/>
      <c r="CB45" s="433"/>
      <c r="CC45" s="433"/>
      <c r="CD45" s="433"/>
      <c r="CE45" s="247" t="s">
        <v>26</v>
      </c>
      <c r="CF45" s="441"/>
      <c r="CG45" s="47"/>
    </row>
    <row r="46" spans="1:86" s="14" customFormat="1" ht="9.75" customHeight="1">
      <c r="A46" s="426"/>
      <c r="B46" s="288"/>
      <c r="C46" s="426"/>
      <c r="D46" s="287"/>
      <c r="E46" s="287"/>
      <c r="F46" s="287"/>
      <c r="G46" s="287"/>
      <c r="H46" s="288"/>
      <c r="I46" s="426"/>
      <c r="J46" s="287"/>
      <c r="K46" s="287"/>
      <c r="L46" s="287"/>
      <c r="M46" s="287"/>
      <c r="N46" s="287"/>
      <c r="O46" s="287"/>
      <c r="P46" s="287"/>
      <c r="Q46" s="287"/>
      <c r="R46" s="287"/>
      <c r="S46" s="288"/>
      <c r="T46" s="426"/>
      <c r="U46" s="287"/>
      <c r="V46" s="287"/>
      <c r="W46" s="287"/>
      <c r="X46" s="287"/>
      <c r="Y46" s="287"/>
      <c r="Z46" s="428"/>
      <c r="AA46" s="428"/>
      <c r="AB46" s="428"/>
      <c r="AC46" s="428"/>
      <c r="AD46" s="428"/>
      <c r="AE46" s="428"/>
      <c r="AF46" s="287"/>
      <c r="AG46" s="288"/>
      <c r="AH46" s="430"/>
      <c r="AI46" s="431"/>
      <c r="AJ46" s="431"/>
      <c r="AK46" s="431"/>
      <c r="AL46" s="49"/>
      <c r="AM46" s="458"/>
      <c r="AN46" s="458"/>
      <c r="AO46" s="458"/>
      <c r="AP46" s="458"/>
      <c r="AQ46" s="458"/>
      <c r="AR46" s="458"/>
      <c r="AS46" s="458"/>
      <c r="AT46" s="458"/>
      <c r="AU46" s="458"/>
      <c r="AV46" s="458"/>
      <c r="AW46" s="458"/>
      <c r="AX46" s="27"/>
      <c r="AY46" s="426"/>
      <c r="AZ46" s="287"/>
      <c r="BA46" s="287"/>
      <c r="BB46" s="287"/>
      <c r="BC46" s="45"/>
      <c r="BD46" s="45"/>
      <c r="BE46" s="45"/>
      <c r="BF46" s="45"/>
      <c r="BG46" s="45"/>
      <c r="BH46" s="46"/>
      <c r="BI46" s="434"/>
      <c r="BJ46" s="435"/>
      <c r="BK46" s="435"/>
      <c r="BL46" s="435"/>
      <c r="BM46" s="435"/>
      <c r="BN46" s="435"/>
      <c r="BO46" s="435"/>
      <c r="BP46" s="435"/>
      <c r="BQ46" s="435"/>
      <c r="BR46" s="435"/>
      <c r="BS46" s="437"/>
      <c r="BT46" s="438"/>
      <c r="BU46" s="440"/>
      <c r="BV46" s="435"/>
      <c r="BW46" s="435"/>
      <c r="BX46" s="435"/>
      <c r="BY46" s="435"/>
      <c r="BZ46" s="435"/>
      <c r="CA46" s="435"/>
      <c r="CB46" s="435"/>
      <c r="CC46" s="435"/>
      <c r="CD46" s="435"/>
      <c r="CE46" s="437"/>
      <c r="CF46" s="442"/>
      <c r="CG46" s="47"/>
    </row>
    <row r="47" spans="1:86" s="14" customFormat="1" ht="9.75" customHeight="1">
      <c r="A47" s="426"/>
      <c r="B47" s="288"/>
      <c r="C47" s="426"/>
      <c r="D47" s="287"/>
      <c r="E47" s="287"/>
      <c r="F47" s="287"/>
      <c r="G47" s="287"/>
      <c r="H47" s="288"/>
      <c r="I47" s="426" t="str">
        <f>IF(VLOOKUP(A45,①園入力用名簿!A:AF,2,0)="","",VLOOKUP(A45,①園入力用名簿!A:AF,2,0))</f>
        <v/>
      </c>
      <c r="J47" s="287"/>
      <c r="K47" s="287"/>
      <c r="L47" s="287"/>
      <c r="M47" s="287"/>
      <c r="N47" s="287"/>
      <c r="O47" s="287"/>
      <c r="P47" s="287"/>
      <c r="Q47" s="287"/>
      <c r="R47" s="287"/>
      <c r="S47" s="288"/>
      <c r="T47" s="426" t="str">
        <f>IF(VLOOKUP(A45,①園入力用名簿!A:AF,21,0)="","",IF(VLOOKUP(A45,①園入力用名簿!A:AF,21,0)="日額契約","■ 日額契約","□ 日額契約"))</f>
        <v/>
      </c>
      <c r="U47" s="287"/>
      <c r="V47" s="287"/>
      <c r="W47" s="287"/>
      <c r="X47" s="287"/>
      <c r="Y47" s="287"/>
      <c r="Z47" s="428"/>
      <c r="AA47" s="428"/>
      <c r="AB47" s="428"/>
      <c r="AC47" s="428"/>
      <c r="AD47" s="428"/>
      <c r="AE47" s="428"/>
      <c r="AF47" s="287"/>
      <c r="AG47" s="288"/>
      <c r="AH47" s="430" t="s">
        <v>49</v>
      </c>
      <c r="AI47" s="431"/>
      <c r="AJ47" s="431"/>
      <c r="AK47" s="431"/>
      <c r="AL47" s="45"/>
      <c r="AM47" s="287" t="str">
        <f>IF(VLOOKUP(A45,①園入力用名簿!A:W,22,0)="","□ 有","■ 有")</f>
        <v>□ 有</v>
      </c>
      <c r="AN47" s="287"/>
      <c r="AO47" s="287"/>
      <c r="AP47" s="287"/>
      <c r="AQ47" s="45"/>
      <c r="AR47" s="287" t="str">
        <f>IF(VLOOKUP(A45,①園入力用名簿!A:W,22,0)="","■ 無","□ 無")</f>
        <v>■ 無</v>
      </c>
      <c r="AS47" s="287"/>
      <c r="AT47" s="287"/>
      <c r="AU47" s="287"/>
      <c r="AV47" s="287" t="s">
        <v>54</v>
      </c>
      <c r="AW47" s="287"/>
      <c r="AX47" s="46"/>
      <c r="AY47" s="426" t="str">
        <f>IF(AND(VLOOKUP(A45,①園入力用名簿!A:AF,28,0)=$AP$6,VLOOKUP(A45,①園入力用名簿!A:AF,24,0)="入園"),"■ 入園","□ 入園")</f>
        <v>□ 入園</v>
      </c>
      <c r="AZ47" s="287"/>
      <c r="BA47" s="287"/>
      <c r="BB47" s="287"/>
      <c r="BC47" s="287" t="s">
        <v>55</v>
      </c>
      <c r="BD47" s="287" t="str">
        <f>IF(AND(VLOOKUP(A45,①園入力用名簿!A:AF,24,0)="入園",VLOOKUP(A45,①園入力用名簿!A:AF,28,0)=$AQ$6),VLOOKUP(A45,①園入力用名簿!A:AF,30,0),"")</f>
        <v/>
      </c>
      <c r="BE47" s="287"/>
      <c r="BF47" s="287" t="s">
        <v>57</v>
      </c>
      <c r="BG47" s="287"/>
      <c r="BH47" s="288" t="s">
        <v>56</v>
      </c>
      <c r="BI47" s="443" t="str">
        <f>IF(VLOOKUP(A45,①園入力用名簿!A:AF,2,0)="","",BI45+BU45)</f>
        <v/>
      </c>
      <c r="BJ47" s="444"/>
      <c r="BK47" s="444"/>
      <c r="BL47" s="444"/>
      <c r="BM47" s="444"/>
      <c r="BN47" s="444"/>
      <c r="BO47" s="444"/>
      <c r="BP47" s="444"/>
      <c r="BQ47" s="444"/>
      <c r="BR47" s="444"/>
      <c r="BS47" s="447" t="s">
        <v>26</v>
      </c>
      <c r="BT47" s="448"/>
      <c r="BU47" s="449" t="str">
        <f>IF(VLOOKUP(A45,①園入力用名簿!A:AO,35,0)="","",VLOOKUP(A45,①園入力用名簿!A:AO,35,0))</f>
        <v/>
      </c>
      <c r="BV47" s="450"/>
      <c r="BW47" s="450"/>
      <c r="BX47" s="450"/>
      <c r="BY47" s="450"/>
      <c r="BZ47" s="450"/>
      <c r="CA47" s="450"/>
      <c r="CB47" s="450"/>
      <c r="CC47" s="450"/>
      <c r="CD47" s="450"/>
      <c r="CE47" s="249" t="s">
        <v>26</v>
      </c>
      <c r="CF47" s="451"/>
      <c r="CG47" s="19"/>
      <c r="CH47" s="42"/>
    </row>
    <row r="48" spans="1:86" s="14" customFormat="1" ht="9.75" customHeight="1">
      <c r="A48" s="426"/>
      <c r="B48" s="288"/>
      <c r="C48" s="426"/>
      <c r="D48" s="287"/>
      <c r="E48" s="287"/>
      <c r="F48" s="287"/>
      <c r="G48" s="287"/>
      <c r="H48" s="288"/>
      <c r="I48" s="426"/>
      <c r="J48" s="287"/>
      <c r="K48" s="287"/>
      <c r="L48" s="287"/>
      <c r="M48" s="287"/>
      <c r="N48" s="287"/>
      <c r="O48" s="287"/>
      <c r="P48" s="287"/>
      <c r="Q48" s="287"/>
      <c r="R48" s="287"/>
      <c r="S48" s="288"/>
      <c r="T48" s="426"/>
      <c r="U48" s="287"/>
      <c r="V48" s="287"/>
      <c r="W48" s="287"/>
      <c r="X48" s="287"/>
      <c r="Y48" s="287"/>
      <c r="Z48" s="428"/>
      <c r="AA48" s="428"/>
      <c r="AB48" s="428"/>
      <c r="AC48" s="428"/>
      <c r="AD48" s="428"/>
      <c r="AE48" s="428"/>
      <c r="AF48" s="287"/>
      <c r="AG48" s="288"/>
      <c r="AH48" s="430"/>
      <c r="AI48" s="431"/>
      <c r="AJ48" s="431"/>
      <c r="AK48" s="431"/>
      <c r="AL48" s="45"/>
      <c r="AM48" s="287"/>
      <c r="AN48" s="287"/>
      <c r="AO48" s="287"/>
      <c r="AP48" s="287"/>
      <c r="AQ48" s="45"/>
      <c r="AR48" s="287"/>
      <c r="AS48" s="287"/>
      <c r="AT48" s="287"/>
      <c r="AU48" s="287"/>
      <c r="AV48" s="287"/>
      <c r="AW48" s="287"/>
      <c r="AX48" s="46"/>
      <c r="AY48" s="426"/>
      <c r="AZ48" s="287"/>
      <c r="BA48" s="287"/>
      <c r="BB48" s="287"/>
      <c r="BC48" s="287"/>
      <c r="BD48" s="287"/>
      <c r="BE48" s="287"/>
      <c r="BF48" s="287"/>
      <c r="BG48" s="287"/>
      <c r="BH48" s="288"/>
      <c r="BI48" s="445"/>
      <c r="BJ48" s="446"/>
      <c r="BK48" s="446"/>
      <c r="BL48" s="446"/>
      <c r="BM48" s="446"/>
      <c r="BN48" s="446"/>
      <c r="BO48" s="446"/>
      <c r="BP48" s="446"/>
      <c r="BQ48" s="446"/>
      <c r="BR48" s="446"/>
      <c r="BS48" s="437"/>
      <c r="BT48" s="438"/>
      <c r="BU48" s="440"/>
      <c r="BV48" s="435"/>
      <c r="BW48" s="435"/>
      <c r="BX48" s="435"/>
      <c r="BY48" s="435"/>
      <c r="BZ48" s="435"/>
      <c r="CA48" s="435"/>
      <c r="CB48" s="435"/>
      <c r="CC48" s="435"/>
      <c r="CD48" s="435"/>
      <c r="CE48" s="437"/>
      <c r="CF48" s="442"/>
      <c r="CG48" s="47"/>
    </row>
    <row r="49" spans="1:86" s="14" customFormat="1" ht="9.75" customHeight="1">
      <c r="A49" s="426"/>
      <c r="B49" s="288"/>
      <c r="C49" s="426"/>
      <c r="D49" s="287"/>
      <c r="E49" s="287"/>
      <c r="F49" s="287"/>
      <c r="G49" s="287"/>
      <c r="H49" s="288"/>
      <c r="I49" s="426"/>
      <c r="J49" s="287"/>
      <c r="K49" s="287"/>
      <c r="L49" s="287"/>
      <c r="M49" s="287"/>
      <c r="N49" s="287"/>
      <c r="O49" s="287"/>
      <c r="P49" s="287"/>
      <c r="Q49" s="287"/>
      <c r="R49" s="287"/>
      <c r="S49" s="288"/>
      <c r="T49" s="426" t="str">
        <f>IF(VLOOKUP(A45,①園入力用名簿!A:AF,21,0)="","",IF(VLOOKUP(A45,①園入力用名簿!A:AF,21,0)="時間契約","■ 時間契約","□ 時間契約"))</f>
        <v/>
      </c>
      <c r="U49" s="287"/>
      <c r="V49" s="287"/>
      <c r="W49" s="287"/>
      <c r="X49" s="287"/>
      <c r="Y49" s="287"/>
      <c r="Z49" s="428"/>
      <c r="AA49" s="428"/>
      <c r="AB49" s="428"/>
      <c r="AC49" s="428"/>
      <c r="AD49" s="428"/>
      <c r="AE49" s="428"/>
      <c r="AF49" s="287"/>
      <c r="AG49" s="288"/>
      <c r="AH49" s="426" t="s">
        <v>50</v>
      </c>
      <c r="AI49" s="287" t="s">
        <v>51</v>
      </c>
      <c r="AJ49" s="287"/>
      <c r="AK49" s="287"/>
      <c r="AL49" s="287"/>
      <c r="AM49" s="287"/>
      <c r="AN49" s="428" t="str">
        <f>IF(VLOOKUP(A45,①園入力用名簿!A:W,22,0)="","",VLOOKUP(A45,①園入力用名簿!A:W,22,0))</f>
        <v/>
      </c>
      <c r="AO49" s="428"/>
      <c r="AP49" s="428"/>
      <c r="AQ49" s="428"/>
      <c r="AR49" s="428"/>
      <c r="AS49" s="428"/>
      <c r="AT49" s="428"/>
      <c r="AU49" s="428"/>
      <c r="AV49" s="287" t="s">
        <v>26</v>
      </c>
      <c r="AW49" s="287"/>
      <c r="AX49" s="288" t="s">
        <v>53</v>
      </c>
      <c r="AY49" s="426" t="str">
        <f>IF(AND(VLOOKUP(A45,①園入力用名簿!A:AF,28,0)=$AP$6,VLOOKUP(A45,①園入力用名簿!A:AF,24,0)="退園"),"■ 退園","□ 退園")</f>
        <v>□ 退園</v>
      </c>
      <c r="AZ49" s="287"/>
      <c r="BA49" s="287"/>
      <c r="BB49" s="287"/>
      <c r="BC49" s="287" t="s">
        <v>55</v>
      </c>
      <c r="BD49" s="287" t="str">
        <f>IF(AND(VLOOKUP(A45,①園入力用名簿!A:AF,24,0)="退園",VLOOKUP(A45,①園入力用名簿!A:AF,28,0)=$AQ$6),VLOOKUP(A45,①園入力用名簿!A:AF,30,0),"")</f>
        <v/>
      </c>
      <c r="BE49" s="287"/>
      <c r="BF49" s="287" t="s">
        <v>57</v>
      </c>
      <c r="BG49" s="287"/>
      <c r="BH49" s="288" t="s">
        <v>56</v>
      </c>
      <c r="BI49" s="459" t="str">
        <f>IF(VLOOKUP(A45,①園入力用名簿!A:AF,2,0)="","",VLOOKUP(A45,①園入力用名簿!A:AO,41,0))</f>
        <v/>
      </c>
      <c r="BJ49" s="460"/>
      <c r="BK49" s="460"/>
      <c r="BL49" s="460"/>
      <c r="BM49" s="460"/>
      <c r="BN49" s="460"/>
      <c r="BO49" s="460"/>
      <c r="BP49" s="460"/>
      <c r="BQ49" s="460"/>
      <c r="BR49" s="460"/>
      <c r="BS49" s="460"/>
      <c r="BT49" s="460"/>
      <c r="BU49" s="460"/>
      <c r="BV49" s="460"/>
      <c r="BW49" s="460"/>
      <c r="BX49" s="460"/>
      <c r="BY49" s="460"/>
      <c r="BZ49" s="460"/>
      <c r="CA49" s="460"/>
      <c r="CB49" s="460"/>
      <c r="CC49" s="460"/>
      <c r="CD49" s="460"/>
      <c r="CE49" s="447" t="s">
        <v>26</v>
      </c>
      <c r="CF49" s="463"/>
      <c r="CG49" s="47"/>
    </row>
    <row r="50" spans="1:86" s="14" customFormat="1" ht="9.75" customHeight="1" thickBot="1">
      <c r="A50" s="427"/>
      <c r="B50" s="290"/>
      <c r="C50" s="427"/>
      <c r="D50" s="289"/>
      <c r="E50" s="289"/>
      <c r="F50" s="289"/>
      <c r="G50" s="289"/>
      <c r="H50" s="290"/>
      <c r="I50" s="427"/>
      <c r="J50" s="289"/>
      <c r="K50" s="289"/>
      <c r="L50" s="289"/>
      <c r="M50" s="289"/>
      <c r="N50" s="289"/>
      <c r="O50" s="289"/>
      <c r="P50" s="289"/>
      <c r="Q50" s="289"/>
      <c r="R50" s="289"/>
      <c r="S50" s="290"/>
      <c r="T50" s="427"/>
      <c r="U50" s="289"/>
      <c r="V50" s="289"/>
      <c r="W50" s="289"/>
      <c r="X50" s="289"/>
      <c r="Y50" s="289"/>
      <c r="Z50" s="429"/>
      <c r="AA50" s="429"/>
      <c r="AB50" s="429"/>
      <c r="AC50" s="429"/>
      <c r="AD50" s="429"/>
      <c r="AE50" s="429"/>
      <c r="AF50" s="289"/>
      <c r="AG50" s="290"/>
      <c r="AH50" s="427"/>
      <c r="AI50" s="289"/>
      <c r="AJ50" s="289"/>
      <c r="AK50" s="289"/>
      <c r="AL50" s="289"/>
      <c r="AM50" s="289"/>
      <c r="AN50" s="429"/>
      <c r="AO50" s="429"/>
      <c r="AP50" s="429"/>
      <c r="AQ50" s="429"/>
      <c r="AR50" s="429"/>
      <c r="AS50" s="429"/>
      <c r="AT50" s="429"/>
      <c r="AU50" s="429"/>
      <c r="AV50" s="289"/>
      <c r="AW50" s="289"/>
      <c r="AX50" s="290"/>
      <c r="AY50" s="427"/>
      <c r="AZ50" s="289"/>
      <c r="BA50" s="289"/>
      <c r="BB50" s="289"/>
      <c r="BC50" s="289"/>
      <c r="BD50" s="289"/>
      <c r="BE50" s="289"/>
      <c r="BF50" s="289"/>
      <c r="BG50" s="289"/>
      <c r="BH50" s="290"/>
      <c r="BI50" s="461"/>
      <c r="BJ50" s="462"/>
      <c r="BK50" s="462"/>
      <c r="BL50" s="462"/>
      <c r="BM50" s="462"/>
      <c r="BN50" s="462"/>
      <c r="BO50" s="462"/>
      <c r="BP50" s="462"/>
      <c r="BQ50" s="462"/>
      <c r="BR50" s="462"/>
      <c r="BS50" s="462"/>
      <c r="BT50" s="462"/>
      <c r="BU50" s="462"/>
      <c r="BV50" s="462"/>
      <c r="BW50" s="462"/>
      <c r="BX50" s="462"/>
      <c r="BY50" s="462"/>
      <c r="BZ50" s="462"/>
      <c r="CA50" s="462"/>
      <c r="CB50" s="462"/>
      <c r="CC50" s="462"/>
      <c r="CD50" s="462"/>
      <c r="CE50" s="464"/>
      <c r="CF50" s="465"/>
      <c r="CG50" s="47"/>
    </row>
    <row r="51" spans="1:86" s="14" customFormat="1" ht="9.75" customHeight="1">
      <c r="A51" s="452">
        <v>7</v>
      </c>
      <c r="B51" s="286"/>
      <c r="C51" s="453" t="str">
        <f>IF(VLOOKUP(A51,①園入力用名簿!A:AF,4,0)="","",VLOOKUP(A51,①園入力用名簿!A:AF,4,0))</f>
        <v/>
      </c>
      <c r="D51" s="285"/>
      <c r="E51" s="285"/>
      <c r="F51" s="285"/>
      <c r="G51" s="285"/>
      <c r="H51" s="286"/>
      <c r="I51" s="452" t="str">
        <f>IF(VLOOKUP(A51,①園入力用名簿!A:AF,3,0)="","",VLOOKUP(A51,①園入力用名簿!A:AF,3,0))</f>
        <v/>
      </c>
      <c r="J51" s="285"/>
      <c r="K51" s="285"/>
      <c r="L51" s="285"/>
      <c r="M51" s="285"/>
      <c r="N51" s="285"/>
      <c r="O51" s="285"/>
      <c r="P51" s="285"/>
      <c r="Q51" s="285"/>
      <c r="R51" s="285"/>
      <c r="S51" s="286"/>
      <c r="T51" s="452" t="str">
        <f>IF(VLOOKUP(A51,①園入力用名簿!A:AF,21,0)="","",IF(VLOOKUP(A51,①園入力用名簿!A:AF,21,0)="月額契約","■ 月額契約","□ 月額契約"))</f>
        <v/>
      </c>
      <c r="U51" s="285"/>
      <c r="V51" s="285"/>
      <c r="W51" s="285"/>
      <c r="X51" s="285"/>
      <c r="Y51" s="285"/>
      <c r="Z51" s="454" t="str">
        <f>IF(VLOOKUP(A51,①園入力用名簿!A:AF,23,0)="","",VLOOKUP(A51,①園入力用名簿!A:AF,23,0))</f>
        <v/>
      </c>
      <c r="AA51" s="454"/>
      <c r="AB51" s="454"/>
      <c r="AC51" s="454"/>
      <c r="AD51" s="454"/>
      <c r="AE51" s="454"/>
      <c r="AF51" s="285" t="s">
        <v>26</v>
      </c>
      <c r="AG51" s="286"/>
      <c r="AH51" s="455" t="s">
        <v>48</v>
      </c>
      <c r="AI51" s="456"/>
      <c r="AJ51" s="456"/>
      <c r="AK51" s="456"/>
      <c r="AL51" s="48"/>
      <c r="AM51" s="457" t="str">
        <f>IF(VLOOKUP(A51,①園入力用名簿!A:W,7,0)="","",①園入力用名簿!H20&amp;①園入力用名簿!I20&amp;①園入力用名簿!J20&amp;①園入力用名簿!K20&amp;①園入力用名簿!L20&amp;①園入力用名簿!M20&amp;①園入力用名簿!N20)</f>
        <v/>
      </c>
      <c r="AN51" s="457"/>
      <c r="AO51" s="457"/>
      <c r="AP51" s="457"/>
      <c r="AQ51" s="457"/>
      <c r="AR51" s="457"/>
      <c r="AS51" s="457"/>
      <c r="AT51" s="457"/>
      <c r="AU51" s="457"/>
      <c r="AV51" s="457"/>
      <c r="AW51" s="457"/>
      <c r="AX51" s="25"/>
      <c r="AY51" s="452" t="str">
        <f>IF(OR(VLOOKUP(A51,①園入力用名簿!A:AF,28,0)&lt;&gt;$AP$6,VLOOKUP(A51,①園入力用名簿!A:AF,24,0)=""),"■ なし","□ なし")</f>
        <v>■ なし</v>
      </c>
      <c r="AZ51" s="285"/>
      <c r="BA51" s="285"/>
      <c r="BB51" s="285"/>
      <c r="BC51" s="43"/>
      <c r="BD51" s="43"/>
      <c r="BE51" s="43"/>
      <c r="BF51" s="43"/>
      <c r="BG51" s="43"/>
      <c r="BH51" s="44"/>
      <c r="BI51" s="432" t="str">
        <f>IF(VLOOKUP(A51,①園入力用名簿!A:AO,33,0)="","",VLOOKUP(A51,①園入力用名簿!A:AO,33,0))</f>
        <v/>
      </c>
      <c r="BJ51" s="433"/>
      <c r="BK51" s="433"/>
      <c r="BL51" s="433"/>
      <c r="BM51" s="433"/>
      <c r="BN51" s="433"/>
      <c r="BO51" s="433"/>
      <c r="BP51" s="433"/>
      <c r="BQ51" s="433"/>
      <c r="BR51" s="433"/>
      <c r="BS51" s="247" t="s">
        <v>26</v>
      </c>
      <c r="BT51" s="436"/>
      <c r="BU51" s="439" t="str">
        <f>IF(VLOOKUP(A51,①園入力用名簿!A:AO,34,0)="","",VLOOKUP(A51,①園入力用名簿!A:AO,34,0))</f>
        <v/>
      </c>
      <c r="BV51" s="433"/>
      <c r="BW51" s="433"/>
      <c r="BX51" s="433"/>
      <c r="BY51" s="433"/>
      <c r="BZ51" s="433"/>
      <c r="CA51" s="433"/>
      <c r="CB51" s="433"/>
      <c r="CC51" s="433"/>
      <c r="CD51" s="433"/>
      <c r="CE51" s="247" t="s">
        <v>26</v>
      </c>
      <c r="CF51" s="441"/>
      <c r="CG51" s="47"/>
    </row>
    <row r="52" spans="1:86" s="14" customFormat="1" ht="9.75" customHeight="1">
      <c r="A52" s="426"/>
      <c r="B52" s="288"/>
      <c r="C52" s="426"/>
      <c r="D52" s="287"/>
      <c r="E52" s="287"/>
      <c r="F52" s="287"/>
      <c r="G52" s="287"/>
      <c r="H52" s="288"/>
      <c r="I52" s="426"/>
      <c r="J52" s="287"/>
      <c r="K52" s="287"/>
      <c r="L52" s="287"/>
      <c r="M52" s="287"/>
      <c r="N52" s="287"/>
      <c r="O52" s="287"/>
      <c r="P52" s="287"/>
      <c r="Q52" s="287"/>
      <c r="R52" s="287"/>
      <c r="S52" s="288"/>
      <c r="T52" s="426"/>
      <c r="U52" s="287"/>
      <c r="V52" s="287"/>
      <c r="W52" s="287"/>
      <c r="X52" s="287"/>
      <c r="Y52" s="287"/>
      <c r="Z52" s="428"/>
      <c r="AA52" s="428"/>
      <c r="AB52" s="428"/>
      <c r="AC52" s="428"/>
      <c r="AD52" s="428"/>
      <c r="AE52" s="428"/>
      <c r="AF52" s="287"/>
      <c r="AG52" s="288"/>
      <c r="AH52" s="430"/>
      <c r="AI52" s="431"/>
      <c r="AJ52" s="431"/>
      <c r="AK52" s="431"/>
      <c r="AL52" s="49"/>
      <c r="AM52" s="458"/>
      <c r="AN52" s="458"/>
      <c r="AO52" s="458"/>
      <c r="AP52" s="458"/>
      <c r="AQ52" s="458"/>
      <c r="AR52" s="458"/>
      <c r="AS52" s="458"/>
      <c r="AT52" s="458"/>
      <c r="AU52" s="458"/>
      <c r="AV52" s="458"/>
      <c r="AW52" s="458"/>
      <c r="AX52" s="27"/>
      <c r="AY52" s="426"/>
      <c r="AZ52" s="287"/>
      <c r="BA52" s="287"/>
      <c r="BB52" s="287"/>
      <c r="BC52" s="45"/>
      <c r="BD52" s="45"/>
      <c r="BE52" s="45"/>
      <c r="BF52" s="45"/>
      <c r="BG52" s="45"/>
      <c r="BH52" s="46"/>
      <c r="BI52" s="434"/>
      <c r="BJ52" s="435"/>
      <c r="BK52" s="435"/>
      <c r="BL52" s="435"/>
      <c r="BM52" s="435"/>
      <c r="BN52" s="435"/>
      <c r="BO52" s="435"/>
      <c r="BP52" s="435"/>
      <c r="BQ52" s="435"/>
      <c r="BR52" s="435"/>
      <c r="BS52" s="437"/>
      <c r="BT52" s="438"/>
      <c r="BU52" s="440"/>
      <c r="BV52" s="435"/>
      <c r="BW52" s="435"/>
      <c r="BX52" s="435"/>
      <c r="BY52" s="435"/>
      <c r="BZ52" s="435"/>
      <c r="CA52" s="435"/>
      <c r="CB52" s="435"/>
      <c r="CC52" s="435"/>
      <c r="CD52" s="435"/>
      <c r="CE52" s="437"/>
      <c r="CF52" s="442"/>
      <c r="CG52" s="47"/>
    </row>
    <row r="53" spans="1:86" s="14" customFormat="1" ht="9.75" customHeight="1">
      <c r="A53" s="426"/>
      <c r="B53" s="288"/>
      <c r="C53" s="426"/>
      <c r="D53" s="287"/>
      <c r="E53" s="287"/>
      <c r="F53" s="287"/>
      <c r="G53" s="287"/>
      <c r="H53" s="288"/>
      <c r="I53" s="426" t="str">
        <f>IF(VLOOKUP(A51,①園入力用名簿!A:AF,2,0)="","",VLOOKUP(A51,①園入力用名簿!A:AF,2,0))</f>
        <v/>
      </c>
      <c r="J53" s="287"/>
      <c r="K53" s="287"/>
      <c r="L53" s="287"/>
      <c r="M53" s="287"/>
      <c r="N53" s="287"/>
      <c r="O53" s="287"/>
      <c r="P53" s="287"/>
      <c r="Q53" s="287"/>
      <c r="R53" s="287"/>
      <c r="S53" s="288"/>
      <c r="T53" s="426" t="str">
        <f>IF(VLOOKUP(A51,①園入力用名簿!A:AF,21,0)="","",IF(VLOOKUP(A51,①園入力用名簿!A:AF,21,0)="日額契約","■ 日額契約","□ 日額契約"))</f>
        <v/>
      </c>
      <c r="U53" s="287"/>
      <c r="V53" s="287"/>
      <c r="W53" s="287"/>
      <c r="X53" s="287"/>
      <c r="Y53" s="287"/>
      <c r="Z53" s="428"/>
      <c r="AA53" s="428"/>
      <c r="AB53" s="428"/>
      <c r="AC53" s="428"/>
      <c r="AD53" s="428"/>
      <c r="AE53" s="428"/>
      <c r="AF53" s="287"/>
      <c r="AG53" s="288"/>
      <c r="AH53" s="430" t="s">
        <v>49</v>
      </c>
      <c r="AI53" s="431"/>
      <c r="AJ53" s="431"/>
      <c r="AK53" s="431"/>
      <c r="AL53" s="45"/>
      <c r="AM53" s="287" t="str">
        <f>IF(VLOOKUP(A51,①園入力用名簿!A:W,22,0)="","□ 有","■ 有")</f>
        <v>□ 有</v>
      </c>
      <c r="AN53" s="287"/>
      <c r="AO53" s="287"/>
      <c r="AP53" s="287"/>
      <c r="AQ53" s="45"/>
      <c r="AR53" s="287" t="str">
        <f>IF(VLOOKUP(A51,①園入力用名簿!A:W,22,0)="","■ 無","□ 無")</f>
        <v>■ 無</v>
      </c>
      <c r="AS53" s="287"/>
      <c r="AT53" s="287"/>
      <c r="AU53" s="287"/>
      <c r="AV53" s="287" t="s">
        <v>54</v>
      </c>
      <c r="AW53" s="287"/>
      <c r="AX53" s="46"/>
      <c r="AY53" s="426" t="str">
        <f>IF(AND(VLOOKUP(A51,①園入力用名簿!A:AF,28,0)=$AP$6,VLOOKUP(A51,①園入力用名簿!A:AF,24,0)="入園"),"■ 入園","□ 入園")</f>
        <v>□ 入園</v>
      </c>
      <c r="AZ53" s="287"/>
      <c r="BA53" s="287"/>
      <c r="BB53" s="287"/>
      <c r="BC53" s="287" t="s">
        <v>55</v>
      </c>
      <c r="BD53" s="287" t="str">
        <f>IF(AND(VLOOKUP(A51,①園入力用名簿!A:AF,24,0)="入園",VLOOKUP(A51,①園入力用名簿!A:AF,28,0)=$AQ$6),VLOOKUP(A51,①園入力用名簿!A:AF,30,0),"")</f>
        <v/>
      </c>
      <c r="BE53" s="287"/>
      <c r="BF53" s="287" t="s">
        <v>57</v>
      </c>
      <c r="BG53" s="287"/>
      <c r="BH53" s="288" t="s">
        <v>56</v>
      </c>
      <c r="BI53" s="443" t="str">
        <f>IF(VLOOKUP(A51,①園入力用名簿!A:AF,2,0)="","",BI51+BU51)</f>
        <v/>
      </c>
      <c r="BJ53" s="444"/>
      <c r="BK53" s="444"/>
      <c r="BL53" s="444"/>
      <c r="BM53" s="444"/>
      <c r="BN53" s="444"/>
      <c r="BO53" s="444"/>
      <c r="BP53" s="444"/>
      <c r="BQ53" s="444"/>
      <c r="BR53" s="444"/>
      <c r="BS53" s="447" t="s">
        <v>26</v>
      </c>
      <c r="BT53" s="448"/>
      <c r="BU53" s="449" t="str">
        <f>IF(VLOOKUP(A51,①園入力用名簿!A:AO,35,0)="","",VLOOKUP(A51,①園入力用名簿!A:AO,35,0))</f>
        <v/>
      </c>
      <c r="BV53" s="450"/>
      <c r="BW53" s="450"/>
      <c r="BX53" s="450"/>
      <c r="BY53" s="450"/>
      <c r="BZ53" s="450"/>
      <c r="CA53" s="450"/>
      <c r="CB53" s="450"/>
      <c r="CC53" s="450"/>
      <c r="CD53" s="450"/>
      <c r="CE53" s="249" t="s">
        <v>26</v>
      </c>
      <c r="CF53" s="451"/>
      <c r="CG53" s="19"/>
      <c r="CH53" s="42"/>
    </row>
    <row r="54" spans="1:86" s="14" customFormat="1" ht="9.75" customHeight="1">
      <c r="A54" s="426"/>
      <c r="B54" s="288"/>
      <c r="C54" s="426"/>
      <c r="D54" s="287"/>
      <c r="E54" s="287"/>
      <c r="F54" s="287"/>
      <c r="G54" s="287"/>
      <c r="H54" s="288"/>
      <c r="I54" s="426"/>
      <c r="J54" s="287"/>
      <c r="K54" s="287"/>
      <c r="L54" s="287"/>
      <c r="M54" s="287"/>
      <c r="N54" s="287"/>
      <c r="O54" s="287"/>
      <c r="P54" s="287"/>
      <c r="Q54" s="287"/>
      <c r="R54" s="287"/>
      <c r="S54" s="288"/>
      <c r="T54" s="426"/>
      <c r="U54" s="287"/>
      <c r="V54" s="287"/>
      <c r="W54" s="287"/>
      <c r="X54" s="287"/>
      <c r="Y54" s="287"/>
      <c r="Z54" s="428"/>
      <c r="AA54" s="428"/>
      <c r="AB54" s="428"/>
      <c r="AC54" s="428"/>
      <c r="AD54" s="428"/>
      <c r="AE54" s="428"/>
      <c r="AF54" s="287"/>
      <c r="AG54" s="288"/>
      <c r="AH54" s="430"/>
      <c r="AI54" s="431"/>
      <c r="AJ54" s="431"/>
      <c r="AK54" s="431"/>
      <c r="AL54" s="45"/>
      <c r="AM54" s="287"/>
      <c r="AN54" s="287"/>
      <c r="AO54" s="287"/>
      <c r="AP54" s="287"/>
      <c r="AQ54" s="45"/>
      <c r="AR54" s="287"/>
      <c r="AS54" s="287"/>
      <c r="AT54" s="287"/>
      <c r="AU54" s="287"/>
      <c r="AV54" s="287"/>
      <c r="AW54" s="287"/>
      <c r="AX54" s="46"/>
      <c r="AY54" s="426"/>
      <c r="AZ54" s="287"/>
      <c r="BA54" s="287"/>
      <c r="BB54" s="287"/>
      <c r="BC54" s="287"/>
      <c r="BD54" s="287"/>
      <c r="BE54" s="287"/>
      <c r="BF54" s="287"/>
      <c r="BG54" s="287"/>
      <c r="BH54" s="288"/>
      <c r="BI54" s="445"/>
      <c r="BJ54" s="446"/>
      <c r="BK54" s="446"/>
      <c r="BL54" s="446"/>
      <c r="BM54" s="446"/>
      <c r="BN54" s="446"/>
      <c r="BO54" s="446"/>
      <c r="BP54" s="446"/>
      <c r="BQ54" s="446"/>
      <c r="BR54" s="446"/>
      <c r="BS54" s="437"/>
      <c r="BT54" s="438"/>
      <c r="BU54" s="440"/>
      <c r="BV54" s="435"/>
      <c r="BW54" s="435"/>
      <c r="BX54" s="435"/>
      <c r="BY54" s="435"/>
      <c r="BZ54" s="435"/>
      <c r="CA54" s="435"/>
      <c r="CB54" s="435"/>
      <c r="CC54" s="435"/>
      <c r="CD54" s="435"/>
      <c r="CE54" s="437"/>
      <c r="CF54" s="442"/>
      <c r="CG54" s="47"/>
    </row>
    <row r="55" spans="1:86" s="14" customFormat="1" ht="9.75" customHeight="1">
      <c r="A55" s="426"/>
      <c r="B55" s="288"/>
      <c r="C55" s="426"/>
      <c r="D55" s="287"/>
      <c r="E55" s="287"/>
      <c r="F55" s="287"/>
      <c r="G55" s="287"/>
      <c r="H55" s="288"/>
      <c r="I55" s="426"/>
      <c r="J55" s="287"/>
      <c r="K55" s="287"/>
      <c r="L55" s="287"/>
      <c r="M55" s="287"/>
      <c r="N55" s="287"/>
      <c r="O55" s="287"/>
      <c r="P55" s="287"/>
      <c r="Q55" s="287"/>
      <c r="R55" s="287"/>
      <c r="S55" s="288"/>
      <c r="T55" s="426" t="str">
        <f>IF(VLOOKUP(A51,①園入力用名簿!A:AF,21,0)="","",IF(VLOOKUP(A51,①園入力用名簿!A:AF,21,0)="時間契約","■ 時間契約","□ 時間契約"))</f>
        <v/>
      </c>
      <c r="U55" s="287"/>
      <c r="V55" s="287"/>
      <c r="W55" s="287"/>
      <c r="X55" s="287"/>
      <c r="Y55" s="287"/>
      <c r="Z55" s="428"/>
      <c r="AA55" s="428"/>
      <c r="AB55" s="428"/>
      <c r="AC55" s="428"/>
      <c r="AD55" s="428"/>
      <c r="AE55" s="428"/>
      <c r="AF55" s="287"/>
      <c r="AG55" s="288"/>
      <c r="AH55" s="426" t="s">
        <v>50</v>
      </c>
      <c r="AI55" s="287" t="s">
        <v>51</v>
      </c>
      <c r="AJ55" s="287"/>
      <c r="AK55" s="287"/>
      <c r="AL55" s="287"/>
      <c r="AM55" s="287"/>
      <c r="AN55" s="428" t="str">
        <f>IF(VLOOKUP(A51,①園入力用名簿!A:W,22,0)="","",VLOOKUP(A51,①園入力用名簿!A:W,22,0))</f>
        <v/>
      </c>
      <c r="AO55" s="428"/>
      <c r="AP55" s="428"/>
      <c r="AQ55" s="428"/>
      <c r="AR55" s="428"/>
      <c r="AS55" s="428"/>
      <c r="AT55" s="428"/>
      <c r="AU55" s="428"/>
      <c r="AV55" s="287" t="s">
        <v>26</v>
      </c>
      <c r="AW55" s="287"/>
      <c r="AX55" s="288" t="s">
        <v>53</v>
      </c>
      <c r="AY55" s="426" t="str">
        <f>IF(AND(VLOOKUP(A51,①園入力用名簿!A:AF,28,0)=$AP$6,VLOOKUP(A51,①園入力用名簿!A:AF,24,0)="退園"),"■ 退園","□ 退園")</f>
        <v>□ 退園</v>
      </c>
      <c r="AZ55" s="287"/>
      <c r="BA55" s="287"/>
      <c r="BB55" s="287"/>
      <c r="BC55" s="287" t="s">
        <v>55</v>
      </c>
      <c r="BD55" s="287" t="str">
        <f>IF(AND(VLOOKUP(A51,①園入力用名簿!A:AF,24,0)="退園",VLOOKUP(A51,①園入力用名簿!A:AF,28,0)=$AQ$6),VLOOKUP(A51,①園入力用名簿!A:AF,30,0),"")</f>
        <v/>
      </c>
      <c r="BE55" s="287"/>
      <c r="BF55" s="287" t="s">
        <v>57</v>
      </c>
      <c r="BG55" s="287"/>
      <c r="BH55" s="288" t="s">
        <v>56</v>
      </c>
      <c r="BI55" s="459" t="str">
        <f>IF(VLOOKUP(A51,①園入力用名簿!A:AF,2,0)="","",VLOOKUP(A51,①園入力用名簿!A:AO,41,0))</f>
        <v/>
      </c>
      <c r="BJ55" s="460"/>
      <c r="BK55" s="460"/>
      <c r="BL55" s="460"/>
      <c r="BM55" s="460"/>
      <c r="BN55" s="460"/>
      <c r="BO55" s="460"/>
      <c r="BP55" s="460"/>
      <c r="BQ55" s="460"/>
      <c r="BR55" s="460"/>
      <c r="BS55" s="460"/>
      <c r="BT55" s="460"/>
      <c r="BU55" s="460"/>
      <c r="BV55" s="460"/>
      <c r="BW55" s="460"/>
      <c r="BX55" s="460"/>
      <c r="BY55" s="460"/>
      <c r="BZ55" s="460"/>
      <c r="CA55" s="460"/>
      <c r="CB55" s="460"/>
      <c r="CC55" s="460"/>
      <c r="CD55" s="460"/>
      <c r="CE55" s="447" t="s">
        <v>26</v>
      </c>
      <c r="CF55" s="463"/>
      <c r="CG55" s="47"/>
    </row>
    <row r="56" spans="1:86" s="14" customFormat="1" ht="9.75" customHeight="1" thickBot="1">
      <c r="A56" s="427"/>
      <c r="B56" s="290"/>
      <c r="C56" s="427"/>
      <c r="D56" s="289"/>
      <c r="E56" s="289"/>
      <c r="F56" s="289"/>
      <c r="G56" s="289"/>
      <c r="H56" s="290"/>
      <c r="I56" s="427"/>
      <c r="J56" s="289"/>
      <c r="K56" s="289"/>
      <c r="L56" s="289"/>
      <c r="M56" s="289"/>
      <c r="N56" s="289"/>
      <c r="O56" s="289"/>
      <c r="P56" s="289"/>
      <c r="Q56" s="289"/>
      <c r="R56" s="289"/>
      <c r="S56" s="290"/>
      <c r="T56" s="427"/>
      <c r="U56" s="289"/>
      <c r="V56" s="289"/>
      <c r="W56" s="289"/>
      <c r="X56" s="289"/>
      <c r="Y56" s="289"/>
      <c r="Z56" s="429"/>
      <c r="AA56" s="429"/>
      <c r="AB56" s="429"/>
      <c r="AC56" s="429"/>
      <c r="AD56" s="429"/>
      <c r="AE56" s="429"/>
      <c r="AF56" s="289"/>
      <c r="AG56" s="290"/>
      <c r="AH56" s="427"/>
      <c r="AI56" s="289"/>
      <c r="AJ56" s="289"/>
      <c r="AK56" s="289"/>
      <c r="AL56" s="289"/>
      <c r="AM56" s="289"/>
      <c r="AN56" s="429"/>
      <c r="AO56" s="429"/>
      <c r="AP56" s="429"/>
      <c r="AQ56" s="429"/>
      <c r="AR56" s="429"/>
      <c r="AS56" s="429"/>
      <c r="AT56" s="429"/>
      <c r="AU56" s="429"/>
      <c r="AV56" s="289"/>
      <c r="AW56" s="289"/>
      <c r="AX56" s="290"/>
      <c r="AY56" s="427"/>
      <c r="AZ56" s="289"/>
      <c r="BA56" s="289"/>
      <c r="BB56" s="289"/>
      <c r="BC56" s="289"/>
      <c r="BD56" s="289"/>
      <c r="BE56" s="289"/>
      <c r="BF56" s="289"/>
      <c r="BG56" s="289"/>
      <c r="BH56" s="290"/>
      <c r="BI56" s="461"/>
      <c r="BJ56" s="462"/>
      <c r="BK56" s="462"/>
      <c r="BL56" s="462"/>
      <c r="BM56" s="462"/>
      <c r="BN56" s="462"/>
      <c r="BO56" s="462"/>
      <c r="BP56" s="462"/>
      <c r="BQ56" s="462"/>
      <c r="BR56" s="462"/>
      <c r="BS56" s="462"/>
      <c r="BT56" s="462"/>
      <c r="BU56" s="462"/>
      <c r="BV56" s="462"/>
      <c r="BW56" s="462"/>
      <c r="BX56" s="462"/>
      <c r="BY56" s="462"/>
      <c r="BZ56" s="462"/>
      <c r="CA56" s="462"/>
      <c r="CB56" s="462"/>
      <c r="CC56" s="462"/>
      <c r="CD56" s="462"/>
      <c r="CE56" s="464"/>
      <c r="CF56" s="465"/>
      <c r="CG56" s="47"/>
    </row>
    <row r="57" spans="1:86" s="14" customFormat="1" ht="9.75" customHeight="1">
      <c r="A57" s="452">
        <v>8</v>
      </c>
      <c r="B57" s="286"/>
      <c r="C57" s="453" t="str">
        <f>IF(VLOOKUP(A57,①園入力用名簿!A:AF,4,0)="","",VLOOKUP(A57,①園入力用名簿!A:AF,4,0))</f>
        <v/>
      </c>
      <c r="D57" s="285"/>
      <c r="E57" s="285"/>
      <c r="F57" s="285"/>
      <c r="G57" s="285"/>
      <c r="H57" s="286"/>
      <c r="I57" s="452" t="str">
        <f>IF(VLOOKUP(A57,①園入力用名簿!A:AF,3,0)="","",VLOOKUP(A57,①園入力用名簿!A:AF,3,0))</f>
        <v/>
      </c>
      <c r="J57" s="285"/>
      <c r="K57" s="285"/>
      <c r="L57" s="285"/>
      <c r="M57" s="285"/>
      <c r="N57" s="285"/>
      <c r="O57" s="285"/>
      <c r="P57" s="285"/>
      <c r="Q57" s="285"/>
      <c r="R57" s="285"/>
      <c r="S57" s="286"/>
      <c r="T57" s="452" t="str">
        <f>IF(VLOOKUP(A57,①園入力用名簿!A:AF,21,0)="","",IF(VLOOKUP(A57,①園入力用名簿!A:AF,21,0)="月額契約","■ 月額契約","□ 月額契約"))</f>
        <v/>
      </c>
      <c r="U57" s="285"/>
      <c r="V57" s="285"/>
      <c r="W57" s="285"/>
      <c r="X57" s="285"/>
      <c r="Y57" s="285"/>
      <c r="Z57" s="454" t="str">
        <f>IF(VLOOKUP(A57,①園入力用名簿!A:AF,23,0)="","",VLOOKUP(A57,①園入力用名簿!A:AF,23,0))</f>
        <v/>
      </c>
      <c r="AA57" s="454"/>
      <c r="AB57" s="454"/>
      <c r="AC57" s="454"/>
      <c r="AD57" s="454"/>
      <c r="AE57" s="454"/>
      <c r="AF57" s="285" t="s">
        <v>26</v>
      </c>
      <c r="AG57" s="286"/>
      <c r="AH57" s="455" t="s">
        <v>48</v>
      </c>
      <c r="AI57" s="456"/>
      <c r="AJ57" s="456"/>
      <c r="AK57" s="456"/>
      <c r="AL57" s="48"/>
      <c r="AM57" s="457" t="str">
        <f>IF(VLOOKUP(A57,①園入力用名簿!A:W,7,0)="","",①園入力用名簿!H21&amp;①園入力用名簿!I21&amp;①園入力用名簿!J21&amp;①園入力用名簿!K21&amp;①園入力用名簿!L21&amp;①園入力用名簿!M21&amp;①園入力用名簿!N21)</f>
        <v/>
      </c>
      <c r="AN57" s="457"/>
      <c r="AO57" s="457"/>
      <c r="AP57" s="457"/>
      <c r="AQ57" s="457"/>
      <c r="AR57" s="457"/>
      <c r="AS57" s="457"/>
      <c r="AT57" s="457"/>
      <c r="AU57" s="457"/>
      <c r="AV57" s="457"/>
      <c r="AW57" s="457"/>
      <c r="AX57" s="25"/>
      <c r="AY57" s="452" t="str">
        <f>IF(OR(VLOOKUP(A57,①園入力用名簿!A:AF,28,0)&lt;&gt;$AP$6,VLOOKUP(A57,①園入力用名簿!A:AF,24,0)=""),"■ なし","□ なし")</f>
        <v>■ なし</v>
      </c>
      <c r="AZ57" s="285"/>
      <c r="BA57" s="285"/>
      <c r="BB57" s="285"/>
      <c r="BC57" s="43"/>
      <c r="BD57" s="43"/>
      <c r="BE57" s="43"/>
      <c r="BF57" s="43"/>
      <c r="BG57" s="43"/>
      <c r="BH57" s="44"/>
      <c r="BI57" s="432" t="str">
        <f>IF(VLOOKUP(A57,①園入力用名簿!A:AO,33,0)="","",VLOOKUP(A57,①園入力用名簿!A:AO,33,0))</f>
        <v/>
      </c>
      <c r="BJ57" s="433"/>
      <c r="BK57" s="433"/>
      <c r="BL57" s="433"/>
      <c r="BM57" s="433"/>
      <c r="BN57" s="433"/>
      <c r="BO57" s="433"/>
      <c r="BP57" s="433"/>
      <c r="BQ57" s="433"/>
      <c r="BR57" s="433"/>
      <c r="BS57" s="247" t="s">
        <v>26</v>
      </c>
      <c r="BT57" s="436"/>
      <c r="BU57" s="439" t="str">
        <f>IF(VLOOKUP(A57,①園入力用名簿!A:AO,34,0)="","",VLOOKUP(A57,①園入力用名簿!A:AO,34,0))</f>
        <v/>
      </c>
      <c r="BV57" s="433"/>
      <c r="BW57" s="433"/>
      <c r="BX57" s="433"/>
      <c r="BY57" s="433"/>
      <c r="BZ57" s="433"/>
      <c r="CA57" s="433"/>
      <c r="CB57" s="433"/>
      <c r="CC57" s="433"/>
      <c r="CD57" s="433"/>
      <c r="CE57" s="247" t="s">
        <v>26</v>
      </c>
      <c r="CF57" s="441"/>
      <c r="CG57" s="29"/>
    </row>
    <row r="58" spans="1:86" s="14" customFormat="1" ht="9.75" customHeight="1">
      <c r="A58" s="426"/>
      <c r="B58" s="288"/>
      <c r="C58" s="426"/>
      <c r="D58" s="287"/>
      <c r="E58" s="287"/>
      <c r="F58" s="287"/>
      <c r="G58" s="287"/>
      <c r="H58" s="288"/>
      <c r="I58" s="426"/>
      <c r="J58" s="287"/>
      <c r="K58" s="287"/>
      <c r="L58" s="287"/>
      <c r="M58" s="287"/>
      <c r="N58" s="287"/>
      <c r="O58" s="287"/>
      <c r="P58" s="287"/>
      <c r="Q58" s="287"/>
      <c r="R58" s="287"/>
      <c r="S58" s="288"/>
      <c r="T58" s="426"/>
      <c r="U58" s="287"/>
      <c r="V58" s="287"/>
      <c r="W58" s="287"/>
      <c r="X58" s="287"/>
      <c r="Y58" s="287"/>
      <c r="Z58" s="428"/>
      <c r="AA58" s="428"/>
      <c r="AB58" s="428"/>
      <c r="AC58" s="428"/>
      <c r="AD58" s="428"/>
      <c r="AE58" s="428"/>
      <c r="AF58" s="287"/>
      <c r="AG58" s="288"/>
      <c r="AH58" s="430"/>
      <c r="AI58" s="431"/>
      <c r="AJ58" s="431"/>
      <c r="AK58" s="431"/>
      <c r="AL58" s="49"/>
      <c r="AM58" s="458"/>
      <c r="AN58" s="458"/>
      <c r="AO58" s="458"/>
      <c r="AP58" s="458"/>
      <c r="AQ58" s="458"/>
      <c r="AR58" s="458"/>
      <c r="AS58" s="458"/>
      <c r="AT58" s="458"/>
      <c r="AU58" s="458"/>
      <c r="AV58" s="458"/>
      <c r="AW58" s="458"/>
      <c r="AX58" s="27"/>
      <c r="AY58" s="426"/>
      <c r="AZ58" s="287"/>
      <c r="BA58" s="287"/>
      <c r="BB58" s="287"/>
      <c r="BC58" s="45"/>
      <c r="BD58" s="45"/>
      <c r="BE58" s="45"/>
      <c r="BF58" s="45"/>
      <c r="BG58" s="45"/>
      <c r="BH58" s="46"/>
      <c r="BI58" s="434"/>
      <c r="BJ58" s="435"/>
      <c r="BK58" s="435"/>
      <c r="BL58" s="435"/>
      <c r="BM58" s="435"/>
      <c r="BN58" s="435"/>
      <c r="BO58" s="435"/>
      <c r="BP58" s="435"/>
      <c r="BQ58" s="435"/>
      <c r="BR58" s="435"/>
      <c r="BS58" s="437"/>
      <c r="BT58" s="438"/>
      <c r="BU58" s="440"/>
      <c r="BV58" s="435"/>
      <c r="BW58" s="435"/>
      <c r="BX58" s="435"/>
      <c r="BY58" s="435"/>
      <c r="BZ58" s="435"/>
      <c r="CA58" s="435"/>
      <c r="CB58" s="435"/>
      <c r="CC58" s="435"/>
      <c r="CD58" s="435"/>
      <c r="CE58" s="437"/>
      <c r="CF58" s="442"/>
      <c r="CG58" s="29"/>
    </row>
    <row r="59" spans="1:86" s="14" customFormat="1" ht="9.75" customHeight="1">
      <c r="A59" s="426"/>
      <c r="B59" s="288"/>
      <c r="C59" s="426"/>
      <c r="D59" s="287"/>
      <c r="E59" s="287"/>
      <c r="F59" s="287"/>
      <c r="G59" s="287"/>
      <c r="H59" s="288"/>
      <c r="I59" s="426" t="str">
        <f>IF(VLOOKUP(A57,①園入力用名簿!A:AF,2,0)="","",VLOOKUP(A57,①園入力用名簿!A:AF,2,0))</f>
        <v/>
      </c>
      <c r="J59" s="287"/>
      <c r="K59" s="287"/>
      <c r="L59" s="287"/>
      <c r="M59" s="287"/>
      <c r="N59" s="287"/>
      <c r="O59" s="287"/>
      <c r="P59" s="287"/>
      <c r="Q59" s="287"/>
      <c r="R59" s="287"/>
      <c r="S59" s="288"/>
      <c r="T59" s="426" t="str">
        <f>IF(VLOOKUP(A57,①園入力用名簿!A:AF,21,0)="","",IF(VLOOKUP(A57,①園入力用名簿!A:AF,21,0)="日額契約","■ 日額契約","□ 日額契約"))</f>
        <v/>
      </c>
      <c r="U59" s="287"/>
      <c r="V59" s="287"/>
      <c r="W59" s="287"/>
      <c r="X59" s="287"/>
      <c r="Y59" s="287"/>
      <c r="Z59" s="428"/>
      <c r="AA59" s="428"/>
      <c r="AB59" s="428"/>
      <c r="AC59" s="428"/>
      <c r="AD59" s="428"/>
      <c r="AE59" s="428"/>
      <c r="AF59" s="287"/>
      <c r="AG59" s="288"/>
      <c r="AH59" s="430" t="s">
        <v>49</v>
      </c>
      <c r="AI59" s="431"/>
      <c r="AJ59" s="431"/>
      <c r="AK59" s="431"/>
      <c r="AL59" s="45"/>
      <c r="AM59" s="287" t="str">
        <f>IF(VLOOKUP(A57,①園入力用名簿!A:W,22,0)="","□ 有","■ 有")</f>
        <v>□ 有</v>
      </c>
      <c r="AN59" s="287"/>
      <c r="AO59" s="287"/>
      <c r="AP59" s="287"/>
      <c r="AQ59" s="45"/>
      <c r="AR59" s="287" t="str">
        <f>IF(VLOOKUP(A57,①園入力用名簿!A:W,22,0)="","■ 無","□ 無")</f>
        <v>■ 無</v>
      </c>
      <c r="AS59" s="287"/>
      <c r="AT59" s="287"/>
      <c r="AU59" s="287"/>
      <c r="AV59" s="287" t="s">
        <v>54</v>
      </c>
      <c r="AW59" s="287"/>
      <c r="AX59" s="46"/>
      <c r="AY59" s="426" t="str">
        <f>IF(AND(VLOOKUP(A57,①園入力用名簿!A:AF,28,0)=$AP$6,VLOOKUP(A57,①園入力用名簿!A:AF,24,0)="入園"),"■ 入園","□ 入園")</f>
        <v>□ 入園</v>
      </c>
      <c r="AZ59" s="287"/>
      <c r="BA59" s="287"/>
      <c r="BB59" s="287"/>
      <c r="BC59" s="287" t="s">
        <v>55</v>
      </c>
      <c r="BD59" s="287" t="str">
        <f>IF(AND(VLOOKUP(A57,①園入力用名簿!A:AF,24,0)="入園",VLOOKUP(A57,①園入力用名簿!A:AF,28,0)=$AQ$6),VLOOKUP(A57,①園入力用名簿!A:AF,30,0),"")</f>
        <v/>
      </c>
      <c r="BE59" s="287"/>
      <c r="BF59" s="287" t="s">
        <v>57</v>
      </c>
      <c r="BG59" s="287"/>
      <c r="BH59" s="288" t="s">
        <v>56</v>
      </c>
      <c r="BI59" s="443" t="str">
        <f>IF(VLOOKUP(A57,①園入力用名簿!A:AF,2,0)="","",BI57+BU57)</f>
        <v/>
      </c>
      <c r="BJ59" s="444"/>
      <c r="BK59" s="444"/>
      <c r="BL59" s="444"/>
      <c r="BM59" s="444"/>
      <c r="BN59" s="444"/>
      <c r="BO59" s="444"/>
      <c r="BP59" s="444"/>
      <c r="BQ59" s="444"/>
      <c r="BR59" s="444"/>
      <c r="BS59" s="447" t="s">
        <v>26</v>
      </c>
      <c r="BT59" s="448"/>
      <c r="BU59" s="449" t="str">
        <f>IF(VLOOKUP(A57,①園入力用名簿!A:AO,35,0)="","",VLOOKUP(A57,①園入力用名簿!A:AO,35,0))</f>
        <v/>
      </c>
      <c r="BV59" s="450"/>
      <c r="BW59" s="450"/>
      <c r="BX59" s="450"/>
      <c r="BY59" s="450"/>
      <c r="BZ59" s="450"/>
      <c r="CA59" s="450"/>
      <c r="CB59" s="450"/>
      <c r="CC59" s="450"/>
      <c r="CD59" s="450"/>
      <c r="CE59" s="249" t="s">
        <v>26</v>
      </c>
      <c r="CF59" s="451"/>
      <c r="CG59" s="19"/>
      <c r="CH59" s="28"/>
    </row>
    <row r="60" spans="1:86" s="14" customFormat="1" ht="9.75" customHeight="1">
      <c r="A60" s="426"/>
      <c r="B60" s="288"/>
      <c r="C60" s="426"/>
      <c r="D60" s="287"/>
      <c r="E60" s="287"/>
      <c r="F60" s="287"/>
      <c r="G60" s="287"/>
      <c r="H60" s="288"/>
      <c r="I60" s="426"/>
      <c r="J60" s="287"/>
      <c r="K60" s="287"/>
      <c r="L60" s="287"/>
      <c r="M60" s="287"/>
      <c r="N60" s="287"/>
      <c r="O60" s="287"/>
      <c r="P60" s="287"/>
      <c r="Q60" s="287"/>
      <c r="R60" s="287"/>
      <c r="S60" s="288"/>
      <c r="T60" s="426"/>
      <c r="U60" s="287"/>
      <c r="V60" s="287"/>
      <c r="W60" s="287"/>
      <c r="X60" s="287"/>
      <c r="Y60" s="287"/>
      <c r="Z60" s="428"/>
      <c r="AA60" s="428"/>
      <c r="AB60" s="428"/>
      <c r="AC60" s="428"/>
      <c r="AD60" s="428"/>
      <c r="AE60" s="428"/>
      <c r="AF60" s="287"/>
      <c r="AG60" s="288"/>
      <c r="AH60" s="430"/>
      <c r="AI60" s="431"/>
      <c r="AJ60" s="431"/>
      <c r="AK60" s="431"/>
      <c r="AL60" s="45"/>
      <c r="AM60" s="287"/>
      <c r="AN60" s="287"/>
      <c r="AO60" s="287"/>
      <c r="AP60" s="287"/>
      <c r="AQ60" s="45"/>
      <c r="AR60" s="287"/>
      <c r="AS60" s="287"/>
      <c r="AT60" s="287"/>
      <c r="AU60" s="287"/>
      <c r="AV60" s="287"/>
      <c r="AW60" s="287"/>
      <c r="AX60" s="46"/>
      <c r="AY60" s="426"/>
      <c r="AZ60" s="287"/>
      <c r="BA60" s="287"/>
      <c r="BB60" s="287"/>
      <c r="BC60" s="287"/>
      <c r="BD60" s="287"/>
      <c r="BE60" s="287"/>
      <c r="BF60" s="287"/>
      <c r="BG60" s="287"/>
      <c r="BH60" s="288"/>
      <c r="BI60" s="445"/>
      <c r="BJ60" s="446"/>
      <c r="BK60" s="446"/>
      <c r="BL60" s="446"/>
      <c r="BM60" s="446"/>
      <c r="BN60" s="446"/>
      <c r="BO60" s="446"/>
      <c r="BP60" s="446"/>
      <c r="BQ60" s="446"/>
      <c r="BR60" s="446"/>
      <c r="BS60" s="437"/>
      <c r="BT60" s="438"/>
      <c r="BU60" s="440"/>
      <c r="BV60" s="435"/>
      <c r="BW60" s="435"/>
      <c r="BX60" s="435"/>
      <c r="BY60" s="435"/>
      <c r="BZ60" s="435"/>
      <c r="CA60" s="435"/>
      <c r="CB60" s="435"/>
      <c r="CC60" s="435"/>
      <c r="CD60" s="435"/>
      <c r="CE60" s="437"/>
      <c r="CF60" s="442"/>
      <c r="CG60" s="29"/>
    </row>
    <row r="61" spans="1:86" s="14" customFormat="1" ht="9.75" customHeight="1">
      <c r="A61" s="426"/>
      <c r="B61" s="288"/>
      <c r="C61" s="426"/>
      <c r="D61" s="287"/>
      <c r="E61" s="287"/>
      <c r="F61" s="287"/>
      <c r="G61" s="287"/>
      <c r="H61" s="288"/>
      <c r="I61" s="426"/>
      <c r="J61" s="287"/>
      <c r="K61" s="287"/>
      <c r="L61" s="287"/>
      <c r="M61" s="287"/>
      <c r="N61" s="287"/>
      <c r="O61" s="287"/>
      <c r="P61" s="287"/>
      <c r="Q61" s="287"/>
      <c r="R61" s="287"/>
      <c r="S61" s="288"/>
      <c r="T61" s="426" t="str">
        <f>IF(VLOOKUP(A57,①園入力用名簿!A:AF,21,0)="","",IF(VLOOKUP(A57,①園入力用名簿!A:AF,21,0)="時間契約","■ 時間契約","□ 時間契約"))</f>
        <v/>
      </c>
      <c r="U61" s="287"/>
      <c r="V61" s="287"/>
      <c r="W61" s="287"/>
      <c r="X61" s="287"/>
      <c r="Y61" s="287"/>
      <c r="Z61" s="428"/>
      <c r="AA61" s="428"/>
      <c r="AB61" s="428"/>
      <c r="AC61" s="428"/>
      <c r="AD61" s="428"/>
      <c r="AE61" s="428"/>
      <c r="AF61" s="287"/>
      <c r="AG61" s="288"/>
      <c r="AH61" s="426" t="s">
        <v>50</v>
      </c>
      <c r="AI61" s="287" t="s">
        <v>51</v>
      </c>
      <c r="AJ61" s="287"/>
      <c r="AK61" s="287"/>
      <c r="AL61" s="287"/>
      <c r="AM61" s="287"/>
      <c r="AN61" s="428" t="str">
        <f>IF(VLOOKUP(A57,①園入力用名簿!A:W,22,0)="","",VLOOKUP(A57,①園入力用名簿!A:W,22,0))</f>
        <v/>
      </c>
      <c r="AO61" s="428"/>
      <c r="AP61" s="428"/>
      <c r="AQ61" s="428"/>
      <c r="AR61" s="428"/>
      <c r="AS61" s="428"/>
      <c r="AT61" s="428"/>
      <c r="AU61" s="428"/>
      <c r="AV61" s="287" t="s">
        <v>26</v>
      </c>
      <c r="AW61" s="287"/>
      <c r="AX61" s="288" t="s">
        <v>53</v>
      </c>
      <c r="AY61" s="426" t="str">
        <f>IF(AND(VLOOKUP(A57,①園入力用名簿!A:AF,28,0)=$AP$6,VLOOKUP(A57,①園入力用名簿!A:AF,24,0)="退園"),"■ 退園","□ 退園")</f>
        <v>□ 退園</v>
      </c>
      <c r="AZ61" s="287"/>
      <c r="BA61" s="287"/>
      <c r="BB61" s="287"/>
      <c r="BC61" s="287" t="s">
        <v>55</v>
      </c>
      <c r="BD61" s="287" t="str">
        <f>IF(AND(VLOOKUP(A57,①園入力用名簿!A:AF,24,0)="退園",VLOOKUP(A57,①園入力用名簿!A:AF,28,0)=$AQ$6),VLOOKUP(A57,①園入力用名簿!A:AF,30,0),"")</f>
        <v/>
      </c>
      <c r="BE61" s="287"/>
      <c r="BF61" s="287" t="s">
        <v>57</v>
      </c>
      <c r="BG61" s="287"/>
      <c r="BH61" s="288" t="s">
        <v>56</v>
      </c>
      <c r="BI61" s="459" t="str">
        <f>IF(VLOOKUP(A57,①園入力用名簿!A:AF,2,0)="","",VLOOKUP(A57,①園入力用名簿!A:AO,41,0))</f>
        <v/>
      </c>
      <c r="BJ61" s="460"/>
      <c r="BK61" s="460"/>
      <c r="BL61" s="460"/>
      <c r="BM61" s="460"/>
      <c r="BN61" s="460"/>
      <c r="BO61" s="460"/>
      <c r="BP61" s="460"/>
      <c r="BQ61" s="460"/>
      <c r="BR61" s="460"/>
      <c r="BS61" s="460"/>
      <c r="BT61" s="460"/>
      <c r="BU61" s="460"/>
      <c r="BV61" s="460"/>
      <c r="BW61" s="460"/>
      <c r="BX61" s="460"/>
      <c r="BY61" s="460"/>
      <c r="BZ61" s="460"/>
      <c r="CA61" s="460"/>
      <c r="CB61" s="460"/>
      <c r="CC61" s="460"/>
      <c r="CD61" s="460"/>
      <c r="CE61" s="447" t="s">
        <v>26</v>
      </c>
      <c r="CF61" s="463"/>
      <c r="CG61" s="29"/>
    </row>
    <row r="62" spans="1:86" s="14" customFormat="1" ht="9.75" customHeight="1" thickBot="1">
      <c r="A62" s="427"/>
      <c r="B62" s="290"/>
      <c r="C62" s="427"/>
      <c r="D62" s="289"/>
      <c r="E62" s="289"/>
      <c r="F62" s="289"/>
      <c r="G62" s="289"/>
      <c r="H62" s="290"/>
      <c r="I62" s="427"/>
      <c r="J62" s="289"/>
      <c r="K62" s="289"/>
      <c r="L62" s="289"/>
      <c r="M62" s="289"/>
      <c r="N62" s="289"/>
      <c r="O62" s="289"/>
      <c r="P62" s="289"/>
      <c r="Q62" s="289"/>
      <c r="R62" s="289"/>
      <c r="S62" s="290"/>
      <c r="T62" s="427"/>
      <c r="U62" s="289"/>
      <c r="V62" s="289"/>
      <c r="W62" s="289"/>
      <c r="X62" s="289"/>
      <c r="Y62" s="289"/>
      <c r="Z62" s="429"/>
      <c r="AA62" s="429"/>
      <c r="AB62" s="429"/>
      <c r="AC62" s="429"/>
      <c r="AD62" s="429"/>
      <c r="AE62" s="429"/>
      <c r="AF62" s="289"/>
      <c r="AG62" s="290"/>
      <c r="AH62" s="427"/>
      <c r="AI62" s="289"/>
      <c r="AJ62" s="289"/>
      <c r="AK62" s="289"/>
      <c r="AL62" s="289"/>
      <c r="AM62" s="289"/>
      <c r="AN62" s="429"/>
      <c r="AO62" s="429"/>
      <c r="AP62" s="429"/>
      <c r="AQ62" s="429"/>
      <c r="AR62" s="429"/>
      <c r="AS62" s="429"/>
      <c r="AT62" s="429"/>
      <c r="AU62" s="429"/>
      <c r="AV62" s="289"/>
      <c r="AW62" s="289"/>
      <c r="AX62" s="290"/>
      <c r="AY62" s="427"/>
      <c r="AZ62" s="289"/>
      <c r="BA62" s="289"/>
      <c r="BB62" s="289"/>
      <c r="BC62" s="289"/>
      <c r="BD62" s="289"/>
      <c r="BE62" s="289"/>
      <c r="BF62" s="289"/>
      <c r="BG62" s="289"/>
      <c r="BH62" s="290"/>
      <c r="BI62" s="461"/>
      <c r="BJ62" s="462"/>
      <c r="BK62" s="462"/>
      <c r="BL62" s="462"/>
      <c r="BM62" s="462"/>
      <c r="BN62" s="462"/>
      <c r="BO62" s="462"/>
      <c r="BP62" s="462"/>
      <c r="BQ62" s="462"/>
      <c r="BR62" s="462"/>
      <c r="BS62" s="462"/>
      <c r="BT62" s="462"/>
      <c r="BU62" s="462"/>
      <c r="BV62" s="462"/>
      <c r="BW62" s="462"/>
      <c r="BX62" s="462"/>
      <c r="BY62" s="462"/>
      <c r="BZ62" s="462"/>
      <c r="CA62" s="462"/>
      <c r="CB62" s="462"/>
      <c r="CC62" s="462"/>
      <c r="CD62" s="462"/>
      <c r="CE62" s="464"/>
      <c r="CF62" s="465"/>
      <c r="CG62" s="29"/>
    </row>
    <row r="63" spans="1:86" s="14" customFormat="1" ht="9.75" customHeight="1">
      <c r="A63" s="452">
        <v>9</v>
      </c>
      <c r="B63" s="286"/>
      <c r="C63" s="453" t="str">
        <f>IF(VLOOKUP(A63,①園入力用名簿!A:AF,4,0)="","",VLOOKUP(A63,①園入力用名簿!A:AF,4,0))</f>
        <v/>
      </c>
      <c r="D63" s="285"/>
      <c r="E63" s="285"/>
      <c r="F63" s="285"/>
      <c r="G63" s="285"/>
      <c r="H63" s="286"/>
      <c r="I63" s="452" t="str">
        <f>IF(VLOOKUP(A63,①園入力用名簿!A:AF,3,0)="","",VLOOKUP(A63,①園入力用名簿!A:AF,3,0))</f>
        <v/>
      </c>
      <c r="J63" s="285"/>
      <c r="K63" s="285"/>
      <c r="L63" s="285"/>
      <c r="M63" s="285"/>
      <c r="N63" s="285"/>
      <c r="O63" s="285"/>
      <c r="P63" s="285"/>
      <c r="Q63" s="285"/>
      <c r="R63" s="285"/>
      <c r="S63" s="286"/>
      <c r="T63" s="452" t="str">
        <f>IF(VLOOKUP(A63,①園入力用名簿!A:AF,21,0)="","",IF(VLOOKUP(A63,①園入力用名簿!A:AF,21,0)="月額契約","■ 月額契約","□ 月額契約"))</f>
        <v/>
      </c>
      <c r="U63" s="285"/>
      <c r="V63" s="285"/>
      <c r="W63" s="285"/>
      <c r="X63" s="285"/>
      <c r="Y63" s="285"/>
      <c r="Z63" s="454" t="str">
        <f>IF(VLOOKUP(A63,①園入力用名簿!A:AF,23,0)="","",VLOOKUP(A63,①園入力用名簿!A:AF,23,0))</f>
        <v/>
      </c>
      <c r="AA63" s="454"/>
      <c r="AB63" s="454"/>
      <c r="AC63" s="454"/>
      <c r="AD63" s="454"/>
      <c r="AE63" s="454"/>
      <c r="AF63" s="285" t="s">
        <v>26</v>
      </c>
      <c r="AG63" s="286"/>
      <c r="AH63" s="455" t="s">
        <v>48</v>
      </c>
      <c r="AI63" s="456"/>
      <c r="AJ63" s="456"/>
      <c r="AK63" s="456"/>
      <c r="AL63" s="48"/>
      <c r="AM63" s="457" t="str">
        <f>IF(VLOOKUP(A63,①園入力用名簿!A:W,7,0)="","",①園入力用名簿!H22&amp;①園入力用名簿!I22&amp;①園入力用名簿!J22&amp;①園入力用名簿!K22&amp;①園入力用名簿!L22&amp;①園入力用名簿!M22&amp;①園入力用名簿!N22)</f>
        <v/>
      </c>
      <c r="AN63" s="457"/>
      <c r="AO63" s="457"/>
      <c r="AP63" s="457"/>
      <c r="AQ63" s="457"/>
      <c r="AR63" s="457"/>
      <c r="AS63" s="457"/>
      <c r="AT63" s="457"/>
      <c r="AU63" s="457"/>
      <c r="AV63" s="457"/>
      <c r="AW63" s="457"/>
      <c r="AX63" s="25"/>
      <c r="AY63" s="452" t="str">
        <f>IF(OR(VLOOKUP(A63,①園入力用名簿!A:AF,28,0)&lt;&gt;$AP$6,VLOOKUP(A63,①園入力用名簿!A:AF,24,0)=""),"■ なし","□ なし")</f>
        <v>■ なし</v>
      </c>
      <c r="AZ63" s="285"/>
      <c r="BA63" s="285"/>
      <c r="BB63" s="285"/>
      <c r="BC63" s="43"/>
      <c r="BD63" s="43"/>
      <c r="BE63" s="43"/>
      <c r="BF63" s="43"/>
      <c r="BG63" s="43"/>
      <c r="BH63" s="44"/>
      <c r="BI63" s="432" t="str">
        <f>IF(VLOOKUP(A63,①園入力用名簿!A:AO,33,0)="","",VLOOKUP(A63,①園入力用名簿!A:AO,33,0))</f>
        <v/>
      </c>
      <c r="BJ63" s="433"/>
      <c r="BK63" s="433"/>
      <c r="BL63" s="433"/>
      <c r="BM63" s="433"/>
      <c r="BN63" s="433"/>
      <c r="BO63" s="433"/>
      <c r="BP63" s="433"/>
      <c r="BQ63" s="433"/>
      <c r="BR63" s="433"/>
      <c r="BS63" s="247" t="s">
        <v>26</v>
      </c>
      <c r="BT63" s="436"/>
      <c r="BU63" s="439" t="str">
        <f>IF(VLOOKUP(A63,①園入力用名簿!A:AO,34,0)="","",VLOOKUP(A63,①園入力用名簿!A:AO,34,0))</f>
        <v/>
      </c>
      <c r="BV63" s="433"/>
      <c r="BW63" s="433"/>
      <c r="BX63" s="433"/>
      <c r="BY63" s="433"/>
      <c r="BZ63" s="433"/>
      <c r="CA63" s="433"/>
      <c r="CB63" s="433"/>
      <c r="CC63" s="433"/>
      <c r="CD63" s="433"/>
      <c r="CE63" s="247" t="s">
        <v>26</v>
      </c>
      <c r="CF63" s="441"/>
      <c r="CG63" s="29"/>
    </row>
    <row r="64" spans="1:86" s="14" customFormat="1" ht="9.75" customHeight="1">
      <c r="A64" s="426"/>
      <c r="B64" s="288"/>
      <c r="C64" s="426"/>
      <c r="D64" s="287"/>
      <c r="E64" s="287"/>
      <c r="F64" s="287"/>
      <c r="G64" s="287"/>
      <c r="H64" s="288"/>
      <c r="I64" s="426"/>
      <c r="J64" s="287"/>
      <c r="K64" s="287"/>
      <c r="L64" s="287"/>
      <c r="M64" s="287"/>
      <c r="N64" s="287"/>
      <c r="O64" s="287"/>
      <c r="P64" s="287"/>
      <c r="Q64" s="287"/>
      <c r="R64" s="287"/>
      <c r="S64" s="288"/>
      <c r="T64" s="426"/>
      <c r="U64" s="287"/>
      <c r="V64" s="287"/>
      <c r="W64" s="287"/>
      <c r="X64" s="287"/>
      <c r="Y64" s="287"/>
      <c r="Z64" s="428"/>
      <c r="AA64" s="428"/>
      <c r="AB64" s="428"/>
      <c r="AC64" s="428"/>
      <c r="AD64" s="428"/>
      <c r="AE64" s="428"/>
      <c r="AF64" s="287"/>
      <c r="AG64" s="288"/>
      <c r="AH64" s="430"/>
      <c r="AI64" s="431"/>
      <c r="AJ64" s="431"/>
      <c r="AK64" s="431"/>
      <c r="AL64" s="49"/>
      <c r="AM64" s="458"/>
      <c r="AN64" s="458"/>
      <c r="AO64" s="458"/>
      <c r="AP64" s="458"/>
      <c r="AQ64" s="458"/>
      <c r="AR64" s="458"/>
      <c r="AS64" s="458"/>
      <c r="AT64" s="458"/>
      <c r="AU64" s="458"/>
      <c r="AV64" s="458"/>
      <c r="AW64" s="458"/>
      <c r="AX64" s="27"/>
      <c r="AY64" s="426"/>
      <c r="AZ64" s="287"/>
      <c r="BA64" s="287"/>
      <c r="BB64" s="287"/>
      <c r="BC64" s="45"/>
      <c r="BD64" s="45"/>
      <c r="BE64" s="45"/>
      <c r="BF64" s="45"/>
      <c r="BG64" s="45"/>
      <c r="BH64" s="46"/>
      <c r="BI64" s="434"/>
      <c r="BJ64" s="435"/>
      <c r="BK64" s="435"/>
      <c r="BL64" s="435"/>
      <c r="BM64" s="435"/>
      <c r="BN64" s="435"/>
      <c r="BO64" s="435"/>
      <c r="BP64" s="435"/>
      <c r="BQ64" s="435"/>
      <c r="BR64" s="435"/>
      <c r="BS64" s="437"/>
      <c r="BT64" s="438"/>
      <c r="BU64" s="440"/>
      <c r="BV64" s="435"/>
      <c r="BW64" s="435"/>
      <c r="BX64" s="435"/>
      <c r="BY64" s="435"/>
      <c r="BZ64" s="435"/>
      <c r="CA64" s="435"/>
      <c r="CB64" s="435"/>
      <c r="CC64" s="435"/>
      <c r="CD64" s="435"/>
      <c r="CE64" s="437"/>
      <c r="CF64" s="442"/>
      <c r="CG64" s="29"/>
    </row>
    <row r="65" spans="1:86" s="14" customFormat="1" ht="9.75" customHeight="1">
      <c r="A65" s="426"/>
      <c r="B65" s="288"/>
      <c r="C65" s="426"/>
      <c r="D65" s="287"/>
      <c r="E65" s="287"/>
      <c r="F65" s="287"/>
      <c r="G65" s="287"/>
      <c r="H65" s="288"/>
      <c r="I65" s="426" t="str">
        <f>IF(VLOOKUP(A63,①園入力用名簿!A:AF,2,0)="","",VLOOKUP(A63,①園入力用名簿!A:AF,2,0))</f>
        <v/>
      </c>
      <c r="J65" s="287"/>
      <c r="K65" s="287"/>
      <c r="L65" s="287"/>
      <c r="M65" s="287"/>
      <c r="N65" s="287"/>
      <c r="O65" s="287"/>
      <c r="P65" s="287"/>
      <c r="Q65" s="287"/>
      <c r="R65" s="287"/>
      <c r="S65" s="288"/>
      <c r="T65" s="426" t="str">
        <f>IF(VLOOKUP(A63,①園入力用名簿!A:AF,21,0)="","",IF(VLOOKUP(A63,①園入力用名簿!A:AF,21,0)="日額契約","■ 日額契約","□ 日額契約"))</f>
        <v/>
      </c>
      <c r="U65" s="287"/>
      <c r="V65" s="287"/>
      <c r="W65" s="287"/>
      <c r="X65" s="287"/>
      <c r="Y65" s="287"/>
      <c r="Z65" s="428"/>
      <c r="AA65" s="428"/>
      <c r="AB65" s="428"/>
      <c r="AC65" s="428"/>
      <c r="AD65" s="428"/>
      <c r="AE65" s="428"/>
      <c r="AF65" s="287"/>
      <c r="AG65" s="288"/>
      <c r="AH65" s="430" t="s">
        <v>49</v>
      </c>
      <c r="AI65" s="431"/>
      <c r="AJ65" s="431"/>
      <c r="AK65" s="431"/>
      <c r="AL65" s="45"/>
      <c r="AM65" s="287" t="str">
        <f>IF(VLOOKUP(A63,①園入力用名簿!A:W,22,0)="","□ 有","■ 有")</f>
        <v>□ 有</v>
      </c>
      <c r="AN65" s="287"/>
      <c r="AO65" s="287"/>
      <c r="AP65" s="287"/>
      <c r="AQ65" s="45"/>
      <c r="AR65" s="287" t="str">
        <f>IF(VLOOKUP(A63,①園入力用名簿!A:W,22,0)="","■ 無","□ 無")</f>
        <v>■ 無</v>
      </c>
      <c r="AS65" s="287"/>
      <c r="AT65" s="287"/>
      <c r="AU65" s="287"/>
      <c r="AV65" s="287" t="s">
        <v>54</v>
      </c>
      <c r="AW65" s="287"/>
      <c r="AX65" s="46"/>
      <c r="AY65" s="426" t="str">
        <f>IF(AND(VLOOKUP(A63,①園入力用名簿!A:AF,28,0)=$AP$6,VLOOKUP(A63,①園入力用名簿!A:AF,24,0)="入園"),"■ 入園","□ 入園")</f>
        <v>□ 入園</v>
      </c>
      <c r="AZ65" s="287"/>
      <c r="BA65" s="287"/>
      <c r="BB65" s="287"/>
      <c r="BC65" s="287" t="s">
        <v>55</v>
      </c>
      <c r="BD65" s="287" t="str">
        <f>IF(AND(VLOOKUP(A63,①園入力用名簿!A:AF,24,0)="入園",VLOOKUP(A63,①園入力用名簿!A:AF,28,0)=$AQ$6),VLOOKUP(A63,①園入力用名簿!A:AF,30,0),"")</f>
        <v/>
      </c>
      <c r="BE65" s="287"/>
      <c r="BF65" s="287" t="s">
        <v>57</v>
      </c>
      <c r="BG65" s="287"/>
      <c r="BH65" s="288" t="s">
        <v>56</v>
      </c>
      <c r="BI65" s="443" t="str">
        <f>IF(VLOOKUP(A63,①園入力用名簿!A:AF,2,0)="","",BI63+BU63)</f>
        <v/>
      </c>
      <c r="BJ65" s="444"/>
      <c r="BK65" s="444"/>
      <c r="BL65" s="444"/>
      <c r="BM65" s="444"/>
      <c r="BN65" s="444"/>
      <c r="BO65" s="444"/>
      <c r="BP65" s="444"/>
      <c r="BQ65" s="444"/>
      <c r="BR65" s="444"/>
      <c r="BS65" s="447" t="s">
        <v>26</v>
      </c>
      <c r="BT65" s="448"/>
      <c r="BU65" s="449" t="str">
        <f>IF(VLOOKUP(A63,①園入力用名簿!A:AO,35,0)="","",VLOOKUP(A63,①園入力用名簿!A:AO,35,0))</f>
        <v/>
      </c>
      <c r="BV65" s="450"/>
      <c r="BW65" s="450"/>
      <c r="BX65" s="450"/>
      <c r="BY65" s="450"/>
      <c r="BZ65" s="450"/>
      <c r="CA65" s="450"/>
      <c r="CB65" s="450"/>
      <c r="CC65" s="450"/>
      <c r="CD65" s="450"/>
      <c r="CE65" s="249" t="s">
        <v>26</v>
      </c>
      <c r="CF65" s="451"/>
      <c r="CG65" s="19"/>
      <c r="CH65" s="28"/>
    </row>
    <row r="66" spans="1:86" s="14" customFormat="1" ht="9.75" customHeight="1">
      <c r="A66" s="426"/>
      <c r="B66" s="288"/>
      <c r="C66" s="426"/>
      <c r="D66" s="287"/>
      <c r="E66" s="287"/>
      <c r="F66" s="287"/>
      <c r="G66" s="287"/>
      <c r="H66" s="288"/>
      <c r="I66" s="426"/>
      <c r="J66" s="287"/>
      <c r="K66" s="287"/>
      <c r="L66" s="287"/>
      <c r="M66" s="287"/>
      <c r="N66" s="287"/>
      <c r="O66" s="287"/>
      <c r="P66" s="287"/>
      <c r="Q66" s="287"/>
      <c r="R66" s="287"/>
      <c r="S66" s="288"/>
      <c r="T66" s="426"/>
      <c r="U66" s="287"/>
      <c r="V66" s="287"/>
      <c r="W66" s="287"/>
      <c r="X66" s="287"/>
      <c r="Y66" s="287"/>
      <c r="Z66" s="428"/>
      <c r="AA66" s="428"/>
      <c r="AB66" s="428"/>
      <c r="AC66" s="428"/>
      <c r="AD66" s="428"/>
      <c r="AE66" s="428"/>
      <c r="AF66" s="287"/>
      <c r="AG66" s="288"/>
      <c r="AH66" s="430"/>
      <c r="AI66" s="431"/>
      <c r="AJ66" s="431"/>
      <c r="AK66" s="431"/>
      <c r="AL66" s="45"/>
      <c r="AM66" s="287"/>
      <c r="AN66" s="287"/>
      <c r="AO66" s="287"/>
      <c r="AP66" s="287"/>
      <c r="AQ66" s="45"/>
      <c r="AR66" s="287"/>
      <c r="AS66" s="287"/>
      <c r="AT66" s="287"/>
      <c r="AU66" s="287"/>
      <c r="AV66" s="287"/>
      <c r="AW66" s="287"/>
      <c r="AX66" s="46"/>
      <c r="AY66" s="426"/>
      <c r="AZ66" s="287"/>
      <c r="BA66" s="287"/>
      <c r="BB66" s="287"/>
      <c r="BC66" s="287"/>
      <c r="BD66" s="287"/>
      <c r="BE66" s="287"/>
      <c r="BF66" s="287"/>
      <c r="BG66" s="287"/>
      <c r="BH66" s="288"/>
      <c r="BI66" s="445"/>
      <c r="BJ66" s="446"/>
      <c r="BK66" s="446"/>
      <c r="BL66" s="446"/>
      <c r="BM66" s="446"/>
      <c r="BN66" s="446"/>
      <c r="BO66" s="446"/>
      <c r="BP66" s="446"/>
      <c r="BQ66" s="446"/>
      <c r="BR66" s="446"/>
      <c r="BS66" s="437"/>
      <c r="BT66" s="438"/>
      <c r="BU66" s="440"/>
      <c r="BV66" s="435"/>
      <c r="BW66" s="435"/>
      <c r="BX66" s="435"/>
      <c r="BY66" s="435"/>
      <c r="BZ66" s="435"/>
      <c r="CA66" s="435"/>
      <c r="CB66" s="435"/>
      <c r="CC66" s="435"/>
      <c r="CD66" s="435"/>
      <c r="CE66" s="437"/>
      <c r="CF66" s="442"/>
      <c r="CG66" s="29"/>
    </row>
    <row r="67" spans="1:86" s="14" customFormat="1" ht="9.75" customHeight="1">
      <c r="A67" s="426"/>
      <c r="B67" s="288"/>
      <c r="C67" s="426"/>
      <c r="D67" s="287"/>
      <c r="E67" s="287"/>
      <c r="F67" s="287"/>
      <c r="G67" s="287"/>
      <c r="H67" s="288"/>
      <c r="I67" s="426"/>
      <c r="J67" s="287"/>
      <c r="K67" s="287"/>
      <c r="L67" s="287"/>
      <c r="M67" s="287"/>
      <c r="N67" s="287"/>
      <c r="O67" s="287"/>
      <c r="P67" s="287"/>
      <c r="Q67" s="287"/>
      <c r="R67" s="287"/>
      <c r="S67" s="288"/>
      <c r="T67" s="426" t="str">
        <f>IF(VLOOKUP(A63,①園入力用名簿!A:AF,21,0)="","",IF(VLOOKUP(A63,①園入力用名簿!A:AF,21,0)="時間契約","■ 時間契約","□ 時間契約"))</f>
        <v/>
      </c>
      <c r="U67" s="287"/>
      <c r="V67" s="287"/>
      <c r="W67" s="287"/>
      <c r="X67" s="287"/>
      <c r="Y67" s="287"/>
      <c r="Z67" s="428"/>
      <c r="AA67" s="428"/>
      <c r="AB67" s="428"/>
      <c r="AC67" s="428"/>
      <c r="AD67" s="428"/>
      <c r="AE67" s="428"/>
      <c r="AF67" s="287"/>
      <c r="AG67" s="288"/>
      <c r="AH67" s="426" t="s">
        <v>50</v>
      </c>
      <c r="AI67" s="287" t="s">
        <v>51</v>
      </c>
      <c r="AJ67" s="287"/>
      <c r="AK67" s="287"/>
      <c r="AL67" s="287"/>
      <c r="AM67" s="287"/>
      <c r="AN67" s="428" t="str">
        <f>IF(VLOOKUP(A63,①園入力用名簿!A:W,22,0)="","",VLOOKUP(A63,①園入力用名簿!A:W,22,0))</f>
        <v/>
      </c>
      <c r="AO67" s="428"/>
      <c r="AP67" s="428"/>
      <c r="AQ67" s="428"/>
      <c r="AR67" s="428"/>
      <c r="AS67" s="428"/>
      <c r="AT67" s="428"/>
      <c r="AU67" s="428"/>
      <c r="AV67" s="287" t="s">
        <v>26</v>
      </c>
      <c r="AW67" s="287"/>
      <c r="AX67" s="288" t="s">
        <v>53</v>
      </c>
      <c r="AY67" s="426" t="str">
        <f>IF(AND(VLOOKUP(A63,①園入力用名簿!A:AF,28,0)=$AP$6,VLOOKUP(A63,①園入力用名簿!A:AF,24,0)="退園"),"■ 退園","□ 退園")</f>
        <v>□ 退園</v>
      </c>
      <c r="AZ67" s="287"/>
      <c r="BA67" s="287"/>
      <c r="BB67" s="287"/>
      <c r="BC67" s="287" t="s">
        <v>55</v>
      </c>
      <c r="BD67" s="287" t="str">
        <f>IF(AND(VLOOKUP(A63,①園入力用名簿!A:AF,24,0)="退園",VLOOKUP(A63,①園入力用名簿!A:AF,28,0)=$AQ$6),VLOOKUP(A63,①園入力用名簿!A:AF,30,0),"")</f>
        <v/>
      </c>
      <c r="BE67" s="287"/>
      <c r="BF67" s="287" t="s">
        <v>57</v>
      </c>
      <c r="BG67" s="287"/>
      <c r="BH67" s="288" t="s">
        <v>56</v>
      </c>
      <c r="BI67" s="459" t="str">
        <f>IF(VLOOKUP(A63,①園入力用名簿!A:AF,2,0)="","",VLOOKUP(A63,①園入力用名簿!A:AO,41,0))</f>
        <v/>
      </c>
      <c r="BJ67" s="460"/>
      <c r="BK67" s="460"/>
      <c r="BL67" s="460"/>
      <c r="BM67" s="460"/>
      <c r="BN67" s="460"/>
      <c r="BO67" s="460"/>
      <c r="BP67" s="460"/>
      <c r="BQ67" s="460"/>
      <c r="BR67" s="460"/>
      <c r="BS67" s="460"/>
      <c r="BT67" s="460"/>
      <c r="BU67" s="460"/>
      <c r="BV67" s="460"/>
      <c r="BW67" s="460"/>
      <c r="BX67" s="460"/>
      <c r="BY67" s="460"/>
      <c r="BZ67" s="460"/>
      <c r="CA67" s="460"/>
      <c r="CB67" s="460"/>
      <c r="CC67" s="460"/>
      <c r="CD67" s="460"/>
      <c r="CE67" s="447" t="s">
        <v>26</v>
      </c>
      <c r="CF67" s="463"/>
      <c r="CG67" s="29"/>
    </row>
    <row r="68" spans="1:86" s="14" customFormat="1" ht="9.75" customHeight="1" thickBot="1">
      <c r="A68" s="427"/>
      <c r="B68" s="290"/>
      <c r="C68" s="427"/>
      <c r="D68" s="289"/>
      <c r="E68" s="289"/>
      <c r="F68" s="289"/>
      <c r="G68" s="289"/>
      <c r="H68" s="290"/>
      <c r="I68" s="427"/>
      <c r="J68" s="289"/>
      <c r="K68" s="289"/>
      <c r="L68" s="289"/>
      <c r="M68" s="289"/>
      <c r="N68" s="289"/>
      <c r="O68" s="289"/>
      <c r="P68" s="289"/>
      <c r="Q68" s="289"/>
      <c r="R68" s="289"/>
      <c r="S68" s="290"/>
      <c r="T68" s="427"/>
      <c r="U68" s="289"/>
      <c r="V68" s="289"/>
      <c r="W68" s="289"/>
      <c r="X68" s="289"/>
      <c r="Y68" s="289"/>
      <c r="Z68" s="429"/>
      <c r="AA68" s="429"/>
      <c r="AB68" s="429"/>
      <c r="AC68" s="429"/>
      <c r="AD68" s="429"/>
      <c r="AE68" s="429"/>
      <c r="AF68" s="289"/>
      <c r="AG68" s="290"/>
      <c r="AH68" s="427"/>
      <c r="AI68" s="289"/>
      <c r="AJ68" s="289"/>
      <c r="AK68" s="289"/>
      <c r="AL68" s="289"/>
      <c r="AM68" s="289"/>
      <c r="AN68" s="429"/>
      <c r="AO68" s="429"/>
      <c r="AP68" s="429"/>
      <c r="AQ68" s="429"/>
      <c r="AR68" s="429"/>
      <c r="AS68" s="429"/>
      <c r="AT68" s="429"/>
      <c r="AU68" s="429"/>
      <c r="AV68" s="289"/>
      <c r="AW68" s="289"/>
      <c r="AX68" s="290"/>
      <c r="AY68" s="427"/>
      <c r="AZ68" s="289"/>
      <c r="BA68" s="289"/>
      <c r="BB68" s="289"/>
      <c r="BC68" s="289"/>
      <c r="BD68" s="289"/>
      <c r="BE68" s="289"/>
      <c r="BF68" s="289"/>
      <c r="BG68" s="289"/>
      <c r="BH68" s="290"/>
      <c r="BI68" s="461"/>
      <c r="BJ68" s="462"/>
      <c r="BK68" s="462"/>
      <c r="BL68" s="462"/>
      <c r="BM68" s="462"/>
      <c r="BN68" s="462"/>
      <c r="BO68" s="462"/>
      <c r="BP68" s="462"/>
      <c r="BQ68" s="462"/>
      <c r="BR68" s="462"/>
      <c r="BS68" s="462"/>
      <c r="BT68" s="462"/>
      <c r="BU68" s="462"/>
      <c r="BV68" s="462"/>
      <c r="BW68" s="462"/>
      <c r="BX68" s="462"/>
      <c r="BY68" s="462"/>
      <c r="BZ68" s="462"/>
      <c r="CA68" s="462"/>
      <c r="CB68" s="462"/>
      <c r="CC68" s="462"/>
      <c r="CD68" s="462"/>
      <c r="CE68" s="464"/>
      <c r="CF68" s="465"/>
      <c r="CG68" s="29"/>
    </row>
    <row r="69" spans="1:86" s="14" customFormat="1" ht="9.75" customHeight="1">
      <c r="A69" s="452">
        <v>10</v>
      </c>
      <c r="B69" s="286"/>
      <c r="C69" s="453" t="str">
        <f>IF(VLOOKUP(A69,①園入力用名簿!A:AF,4,0)="","",VLOOKUP(A69,①園入力用名簿!A:AF,4,0))</f>
        <v/>
      </c>
      <c r="D69" s="285"/>
      <c r="E69" s="285"/>
      <c r="F69" s="285"/>
      <c r="G69" s="285"/>
      <c r="H69" s="286"/>
      <c r="I69" s="452" t="str">
        <f>IF(VLOOKUP(A69,①園入力用名簿!A:AF,3,0)="","",VLOOKUP(A69,①園入力用名簿!A:AF,3,0))</f>
        <v/>
      </c>
      <c r="J69" s="285"/>
      <c r="K69" s="285"/>
      <c r="L69" s="285"/>
      <c r="M69" s="285"/>
      <c r="N69" s="285"/>
      <c r="O69" s="285"/>
      <c r="P69" s="285"/>
      <c r="Q69" s="285"/>
      <c r="R69" s="285"/>
      <c r="S69" s="286"/>
      <c r="T69" s="452" t="str">
        <f>IF(VLOOKUP(A69,①園入力用名簿!A:AF,21,0)="","",IF(VLOOKUP(A69,①園入力用名簿!A:AF,21,0)="月額契約","■ 月額契約","□ 月額契約"))</f>
        <v/>
      </c>
      <c r="U69" s="285"/>
      <c r="V69" s="285"/>
      <c r="W69" s="285"/>
      <c r="X69" s="285"/>
      <c r="Y69" s="285"/>
      <c r="Z69" s="454" t="str">
        <f>IF(VLOOKUP(A69,①園入力用名簿!A:AF,23,0)="","",VLOOKUP(A69,①園入力用名簿!A:AF,23,0))</f>
        <v/>
      </c>
      <c r="AA69" s="454"/>
      <c r="AB69" s="454"/>
      <c r="AC69" s="454"/>
      <c r="AD69" s="454"/>
      <c r="AE69" s="454"/>
      <c r="AF69" s="285" t="s">
        <v>26</v>
      </c>
      <c r="AG69" s="286"/>
      <c r="AH69" s="455" t="s">
        <v>48</v>
      </c>
      <c r="AI69" s="456"/>
      <c r="AJ69" s="456"/>
      <c r="AK69" s="456"/>
      <c r="AL69" s="125"/>
      <c r="AM69" s="457" t="str">
        <f>IF(VLOOKUP(A69,①園入力用名簿!A:W,7,0)="","",①園入力用名簿!H23&amp;①園入力用名簿!I23&amp;①園入力用名簿!J23&amp;①園入力用名簿!K23&amp;①園入力用名簿!L23&amp;①園入力用名簿!M23&amp;①園入力用名簿!N23)</f>
        <v/>
      </c>
      <c r="AN69" s="457"/>
      <c r="AO69" s="457"/>
      <c r="AP69" s="457"/>
      <c r="AQ69" s="457"/>
      <c r="AR69" s="457"/>
      <c r="AS69" s="457"/>
      <c r="AT69" s="457"/>
      <c r="AU69" s="457"/>
      <c r="AV69" s="457"/>
      <c r="AW69" s="457"/>
      <c r="AX69" s="25"/>
      <c r="AY69" s="452" t="str">
        <f>IF(OR(VLOOKUP(A69,①園入力用名簿!A:AF,28,0)&lt;&gt;$AP$6,VLOOKUP(A69,①園入力用名簿!A:AF,24,0)=""),"■ なし","□ なし")</f>
        <v>■ なし</v>
      </c>
      <c r="AZ69" s="285"/>
      <c r="BA69" s="285"/>
      <c r="BB69" s="285"/>
      <c r="BC69" s="121"/>
      <c r="BD69" s="121"/>
      <c r="BE69" s="121"/>
      <c r="BF69" s="121"/>
      <c r="BG69" s="121"/>
      <c r="BH69" s="123"/>
      <c r="BI69" s="432" t="str">
        <f>IF(VLOOKUP(A69,①園入力用名簿!A:AO,33,0)="","",VLOOKUP(A69,①園入力用名簿!A:AO,33,0))</f>
        <v/>
      </c>
      <c r="BJ69" s="433"/>
      <c r="BK69" s="433"/>
      <c r="BL69" s="433"/>
      <c r="BM69" s="433"/>
      <c r="BN69" s="433"/>
      <c r="BO69" s="433"/>
      <c r="BP69" s="433"/>
      <c r="BQ69" s="433"/>
      <c r="BR69" s="433"/>
      <c r="BS69" s="247" t="s">
        <v>26</v>
      </c>
      <c r="BT69" s="436"/>
      <c r="BU69" s="439" t="str">
        <f>IF(VLOOKUP(A69,①園入力用名簿!A:AO,34,0)="","",VLOOKUP(A69,①園入力用名簿!A:AO,34,0))</f>
        <v/>
      </c>
      <c r="BV69" s="433"/>
      <c r="BW69" s="433"/>
      <c r="BX69" s="433"/>
      <c r="BY69" s="433"/>
      <c r="BZ69" s="433"/>
      <c r="CA69" s="433"/>
      <c r="CB69" s="433"/>
      <c r="CC69" s="433"/>
      <c r="CD69" s="433"/>
      <c r="CE69" s="247" t="s">
        <v>26</v>
      </c>
      <c r="CF69" s="441"/>
      <c r="CG69" s="29"/>
    </row>
    <row r="70" spans="1:86" s="14" customFormat="1" ht="9.75" customHeight="1">
      <c r="A70" s="426"/>
      <c r="B70" s="288"/>
      <c r="C70" s="426"/>
      <c r="D70" s="287"/>
      <c r="E70" s="287"/>
      <c r="F70" s="287"/>
      <c r="G70" s="287"/>
      <c r="H70" s="288"/>
      <c r="I70" s="426"/>
      <c r="J70" s="287"/>
      <c r="K70" s="287"/>
      <c r="L70" s="287"/>
      <c r="M70" s="287"/>
      <c r="N70" s="287"/>
      <c r="O70" s="287"/>
      <c r="P70" s="287"/>
      <c r="Q70" s="287"/>
      <c r="R70" s="287"/>
      <c r="S70" s="288"/>
      <c r="T70" s="426"/>
      <c r="U70" s="287"/>
      <c r="V70" s="287"/>
      <c r="W70" s="287"/>
      <c r="X70" s="287"/>
      <c r="Y70" s="287"/>
      <c r="Z70" s="428"/>
      <c r="AA70" s="428"/>
      <c r="AB70" s="428"/>
      <c r="AC70" s="428"/>
      <c r="AD70" s="428"/>
      <c r="AE70" s="428"/>
      <c r="AF70" s="287"/>
      <c r="AG70" s="288"/>
      <c r="AH70" s="430"/>
      <c r="AI70" s="431"/>
      <c r="AJ70" s="431"/>
      <c r="AK70" s="431"/>
      <c r="AL70" s="126"/>
      <c r="AM70" s="458"/>
      <c r="AN70" s="458"/>
      <c r="AO70" s="458"/>
      <c r="AP70" s="458"/>
      <c r="AQ70" s="458"/>
      <c r="AR70" s="458"/>
      <c r="AS70" s="458"/>
      <c r="AT70" s="458"/>
      <c r="AU70" s="458"/>
      <c r="AV70" s="458"/>
      <c r="AW70" s="458"/>
      <c r="AX70" s="27"/>
      <c r="AY70" s="426"/>
      <c r="AZ70" s="287"/>
      <c r="BA70" s="287"/>
      <c r="BB70" s="287"/>
      <c r="BC70" s="122"/>
      <c r="BD70" s="122"/>
      <c r="BE70" s="122"/>
      <c r="BF70" s="122"/>
      <c r="BG70" s="122"/>
      <c r="BH70" s="124"/>
      <c r="BI70" s="434"/>
      <c r="BJ70" s="435"/>
      <c r="BK70" s="435"/>
      <c r="BL70" s="435"/>
      <c r="BM70" s="435"/>
      <c r="BN70" s="435"/>
      <c r="BO70" s="435"/>
      <c r="BP70" s="435"/>
      <c r="BQ70" s="435"/>
      <c r="BR70" s="435"/>
      <c r="BS70" s="437"/>
      <c r="BT70" s="438"/>
      <c r="BU70" s="440"/>
      <c r="BV70" s="435"/>
      <c r="BW70" s="435"/>
      <c r="BX70" s="435"/>
      <c r="BY70" s="435"/>
      <c r="BZ70" s="435"/>
      <c r="CA70" s="435"/>
      <c r="CB70" s="435"/>
      <c r="CC70" s="435"/>
      <c r="CD70" s="435"/>
      <c r="CE70" s="437"/>
      <c r="CF70" s="442"/>
      <c r="CG70" s="29"/>
    </row>
    <row r="71" spans="1:86" s="14" customFormat="1" ht="9.75" customHeight="1">
      <c r="A71" s="426"/>
      <c r="B71" s="288"/>
      <c r="C71" s="426"/>
      <c r="D71" s="287"/>
      <c r="E71" s="287"/>
      <c r="F71" s="287"/>
      <c r="G71" s="287"/>
      <c r="H71" s="288"/>
      <c r="I71" s="426" t="str">
        <f>IF(VLOOKUP(A69,①園入力用名簿!A:AF,2,0)="","",VLOOKUP(A69,①園入力用名簿!A:AF,2,0))</f>
        <v/>
      </c>
      <c r="J71" s="287"/>
      <c r="K71" s="287"/>
      <c r="L71" s="287"/>
      <c r="M71" s="287"/>
      <c r="N71" s="287"/>
      <c r="O71" s="287"/>
      <c r="P71" s="287"/>
      <c r="Q71" s="287"/>
      <c r="R71" s="287"/>
      <c r="S71" s="288"/>
      <c r="T71" s="426" t="str">
        <f>IF(VLOOKUP(A69,①園入力用名簿!A:AF,21,0)="","",IF(VLOOKUP(A69,①園入力用名簿!A:AF,21,0)="日額契約","■ 日額契約","□ 日額契約"))</f>
        <v/>
      </c>
      <c r="U71" s="287"/>
      <c r="V71" s="287"/>
      <c r="W71" s="287"/>
      <c r="X71" s="287"/>
      <c r="Y71" s="287"/>
      <c r="Z71" s="428"/>
      <c r="AA71" s="428"/>
      <c r="AB71" s="428"/>
      <c r="AC71" s="428"/>
      <c r="AD71" s="428"/>
      <c r="AE71" s="428"/>
      <c r="AF71" s="287"/>
      <c r="AG71" s="288"/>
      <c r="AH71" s="430" t="s">
        <v>49</v>
      </c>
      <c r="AI71" s="431"/>
      <c r="AJ71" s="431"/>
      <c r="AK71" s="431"/>
      <c r="AL71" s="122"/>
      <c r="AM71" s="287" t="str">
        <f>IF(VLOOKUP(A69,①園入力用名簿!A:W,22,0)="","□ 有","■ 有")</f>
        <v>□ 有</v>
      </c>
      <c r="AN71" s="287"/>
      <c r="AO71" s="287"/>
      <c r="AP71" s="287"/>
      <c r="AQ71" s="122"/>
      <c r="AR71" s="287" t="str">
        <f>IF(VLOOKUP(A69,①園入力用名簿!A:W,22,0)="","■ 無","□ 無")</f>
        <v>■ 無</v>
      </c>
      <c r="AS71" s="287"/>
      <c r="AT71" s="287"/>
      <c r="AU71" s="287"/>
      <c r="AV71" s="287" t="s">
        <v>54</v>
      </c>
      <c r="AW71" s="287"/>
      <c r="AX71" s="124"/>
      <c r="AY71" s="426" t="str">
        <f>IF(AND(VLOOKUP(A69,①園入力用名簿!A:AF,28,0)=$AP$6,VLOOKUP(A69,①園入力用名簿!A:AF,24,0)="入園"),"■ 入園","□ 入園")</f>
        <v>□ 入園</v>
      </c>
      <c r="AZ71" s="287"/>
      <c r="BA71" s="287"/>
      <c r="BB71" s="287"/>
      <c r="BC71" s="287" t="s">
        <v>55</v>
      </c>
      <c r="BD71" s="287" t="str">
        <f>IF(AND(VLOOKUP(A69,①園入力用名簿!A:AF,24,0)="入園",VLOOKUP(A69,①園入力用名簿!A:AF,28,0)=$AQ$6),VLOOKUP(A69,①園入力用名簿!A:AF,30,0),"")</f>
        <v/>
      </c>
      <c r="BE71" s="287"/>
      <c r="BF71" s="287" t="s">
        <v>57</v>
      </c>
      <c r="BG71" s="287"/>
      <c r="BH71" s="288" t="s">
        <v>56</v>
      </c>
      <c r="BI71" s="443" t="str">
        <f>IF(VLOOKUP(A69,①園入力用名簿!A:AF,2,0)="","",BI69+BU69)</f>
        <v/>
      </c>
      <c r="BJ71" s="444"/>
      <c r="BK71" s="444"/>
      <c r="BL71" s="444"/>
      <c r="BM71" s="444"/>
      <c r="BN71" s="444"/>
      <c r="BO71" s="444"/>
      <c r="BP71" s="444"/>
      <c r="BQ71" s="444"/>
      <c r="BR71" s="444"/>
      <c r="BS71" s="447" t="s">
        <v>26</v>
      </c>
      <c r="BT71" s="448"/>
      <c r="BU71" s="449" t="str">
        <f>IF(VLOOKUP(A69,①園入力用名簿!A:AO,35,0)="","",VLOOKUP(A69,①園入力用名簿!A:AO,35,0))</f>
        <v/>
      </c>
      <c r="BV71" s="450"/>
      <c r="BW71" s="450"/>
      <c r="BX71" s="450"/>
      <c r="BY71" s="450"/>
      <c r="BZ71" s="450"/>
      <c r="CA71" s="450"/>
      <c r="CB71" s="450"/>
      <c r="CC71" s="450"/>
      <c r="CD71" s="450"/>
      <c r="CE71" s="249" t="s">
        <v>26</v>
      </c>
      <c r="CF71" s="451"/>
      <c r="CG71" s="19"/>
      <c r="CH71" s="28"/>
    </row>
    <row r="72" spans="1:86" s="14" customFormat="1" ht="9.75" customHeight="1">
      <c r="A72" s="426"/>
      <c r="B72" s="288"/>
      <c r="C72" s="426"/>
      <c r="D72" s="287"/>
      <c r="E72" s="287"/>
      <c r="F72" s="287"/>
      <c r="G72" s="287"/>
      <c r="H72" s="288"/>
      <c r="I72" s="426"/>
      <c r="J72" s="287"/>
      <c r="K72" s="287"/>
      <c r="L72" s="287"/>
      <c r="M72" s="287"/>
      <c r="N72" s="287"/>
      <c r="O72" s="287"/>
      <c r="P72" s="287"/>
      <c r="Q72" s="287"/>
      <c r="R72" s="287"/>
      <c r="S72" s="288"/>
      <c r="T72" s="426"/>
      <c r="U72" s="287"/>
      <c r="V72" s="287"/>
      <c r="W72" s="287"/>
      <c r="X72" s="287"/>
      <c r="Y72" s="287"/>
      <c r="Z72" s="428"/>
      <c r="AA72" s="428"/>
      <c r="AB72" s="428"/>
      <c r="AC72" s="428"/>
      <c r="AD72" s="428"/>
      <c r="AE72" s="428"/>
      <c r="AF72" s="287"/>
      <c r="AG72" s="288"/>
      <c r="AH72" s="430"/>
      <c r="AI72" s="431"/>
      <c r="AJ72" s="431"/>
      <c r="AK72" s="431"/>
      <c r="AL72" s="122"/>
      <c r="AM72" s="287"/>
      <c r="AN72" s="287"/>
      <c r="AO72" s="287"/>
      <c r="AP72" s="287"/>
      <c r="AQ72" s="122"/>
      <c r="AR72" s="287"/>
      <c r="AS72" s="287"/>
      <c r="AT72" s="287"/>
      <c r="AU72" s="287"/>
      <c r="AV72" s="287"/>
      <c r="AW72" s="287"/>
      <c r="AX72" s="124"/>
      <c r="AY72" s="426"/>
      <c r="AZ72" s="287"/>
      <c r="BA72" s="287"/>
      <c r="BB72" s="287"/>
      <c r="BC72" s="287"/>
      <c r="BD72" s="287"/>
      <c r="BE72" s="287"/>
      <c r="BF72" s="287"/>
      <c r="BG72" s="287"/>
      <c r="BH72" s="288"/>
      <c r="BI72" s="445"/>
      <c r="BJ72" s="446"/>
      <c r="BK72" s="446"/>
      <c r="BL72" s="446"/>
      <c r="BM72" s="446"/>
      <c r="BN72" s="446"/>
      <c r="BO72" s="446"/>
      <c r="BP72" s="446"/>
      <c r="BQ72" s="446"/>
      <c r="BR72" s="446"/>
      <c r="BS72" s="437"/>
      <c r="BT72" s="438"/>
      <c r="BU72" s="440"/>
      <c r="BV72" s="435"/>
      <c r="BW72" s="435"/>
      <c r="BX72" s="435"/>
      <c r="BY72" s="435"/>
      <c r="BZ72" s="435"/>
      <c r="CA72" s="435"/>
      <c r="CB72" s="435"/>
      <c r="CC72" s="435"/>
      <c r="CD72" s="435"/>
      <c r="CE72" s="437"/>
      <c r="CF72" s="442"/>
      <c r="CG72" s="29"/>
    </row>
    <row r="73" spans="1:86" s="14" customFormat="1" ht="9.75" customHeight="1">
      <c r="A73" s="426"/>
      <c r="B73" s="288"/>
      <c r="C73" s="426"/>
      <c r="D73" s="287"/>
      <c r="E73" s="287"/>
      <c r="F73" s="287"/>
      <c r="G73" s="287"/>
      <c r="H73" s="288"/>
      <c r="I73" s="426"/>
      <c r="J73" s="287"/>
      <c r="K73" s="287"/>
      <c r="L73" s="287"/>
      <c r="M73" s="287"/>
      <c r="N73" s="287"/>
      <c r="O73" s="287"/>
      <c r="P73" s="287"/>
      <c r="Q73" s="287"/>
      <c r="R73" s="287"/>
      <c r="S73" s="288"/>
      <c r="T73" s="426" t="str">
        <f>IF(VLOOKUP(A69,①園入力用名簿!A:AF,21,0)="","",IF(VLOOKUP(A69,①園入力用名簿!A:AF,21,0)="時間契約","■ 時間契約","□ 時間契約"))</f>
        <v/>
      </c>
      <c r="U73" s="287"/>
      <c r="V73" s="287"/>
      <c r="W73" s="287"/>
      <c r="X73" s="287"/>
      <c r="Y73" s="287"/>
      <c r="Z73" s="428"/>
      <c r="AA73" s="428"/>
      <c r="AB73" s="428"/>
      <c r="AC73" s="428"/>
      <c r="AD73" s="428"/>
      <c r="AE73" s="428"/>
      <c r="AF73" s="287"/>
      <c r="AG73" s="288"/>
      <c r="AH73" s="426" t="s">
        <v>50</v>
      </c>
      <c r="AI73" s="287" t="s">
        <v>51</v>
      </c>
      <c r="AJ73" s="287"/>
      <c r="AK73" s="287"/>
      <c r="AL73" s="287"/>
      <c r="AM73" s="287"/>
      <c r="AN73" s="428" t="str">
        <f>IF(VLOOKUP(A69,①園入力用名簿!A:W,22,0)="","",VLOOKUP(A69,①園入力用名簿!A:W,22,0))</f>
        <v/>
      </c>
      <c r="AO73" s="428"/>
      <c r="AP73" s="428"/>
      <c r="AQ73" s="428"/>
      <c r="AR73" s="428"/>
      <c r="AS73" s="428"/>
      <c r="AT73" s="428"/>
      <c r="AU73" s="428"/>
      <c r="AV73" s="287" t="s">
        <v>26</v>
      </c>
      <c r="AW73" s="287"/>
      <c r="AX73" s="288" t="s">
        <v>53</v>
      </c>
      <c r="AY73" s="426" t="str">
        <f>IF(AND(VLOOKUP(A69,①園入力用名簿!A:AF,28,0)=$AP$6,VLOOKUP(A69,①園入力用名簿!A:AF,24,0)="退園"),"■ 退園","□ 退園")</f>
        <v>□ 退園</v>
      </c>
      <c r="AZ73" s="287"/>
      <c r="BA73" s="287"/>
      <c r="BB73" s="287"/>
      <c r="BC73" s="287" t="s">
        <v>55</v>
      </c>
      <c r="BD73" s="287" t="str">
        <f>IF(AND(VLOOKUP(A69,①園入力用名簿!A:AF,24,0)="退園",VLOOKUP(A69,①園入力用名簿!A:AF,28,0)=$AQ$6),VLOOKUP(A69,①園入力用名簿!A:AF,30,0),"")</f>
        <v/>
      </c>
      <c r="BE73" s="287"/>
      <c r="BF73" s="287" t="s">
        <v>57</v>
      </c>
      <c r="BG73" s="287"/>
      <c r="BH73" s="288" t="s">
        <v>56</v>
      </c>
      <c r="BI73" s="459" t="str">
        <f>IF(VLOOKUP(A69,①園入力用名簿!A:AF,2,0)="","",VLOOKUP(A69,①園入力用名簿!A:AO,41,0))</f>
        <v/>
      </c>
      <c r="BJ73" s="460"/>
      <c r="BK73" s="460"/>
      <c r="BL73" s="460"/>
      <c r="BM73" s="460"/>
      <c r="BN73" s="460"/>
      <c r="BO73" s="460"/>
      <c r="BP73" s="460"/>
      <c r="BQ73" s="460"/>
      <c r="BR73" s="460"/>
      <c r="BS73" s="460"/>
      <c r="BT73" s="460"/>
      <c r="BU73" s="460"/>
      <c r="BV73" s="460"/>
      <c r="BW73" s="460"/>
      <c r="BX73" s="460"/>
      <c r="BY73" s="460"/>
      <c r="BZ73" s="460"/>
      <c r="CA73" s="460"/>
      <c r="CB73" s="460"/>
      <c r="CC73" s="460"/>
      <c r="CD73" s="460"/>
      <c r="CE73" s="447" t="s">
        <v>26</v>
      </c>
      <c r="CF73" s="463"/>
      <c r="CG73" s="29"/>
    </row>
    <row r="74" spans="1:86" s="14" customFormat="1" ht="9.75" customHeight="1" thickBot="1">
      <c r="A74" s="427"/>
      <c r="B74" s="290"/>
      <c r="C74" s="427"/>
      <c r="D74" s="289"/>
      <c r="E74" s="289"/>
      <c r="F74" s="289"/>
      <c r="G74" s="289"/>
      <c r="H74" s="290"/>
      <c r="I74" s="427"/>
      <c r="J74" s="289"/>
      <c r="K74" s="289"/>
      <c r="L74" s="289"/>
      <c r="M74" s="289"/>
      <c r="N74" s="289"/>
      <c r="O74" s="289"/>
      <c r="P74" s="289"/>
      <c r="Q74" s="289"/>
      <c r="R74" s="289"/>
      <c r="S74" s="290"/>
      <c r="T74" s="427"/>
      <c r="U74" s="289"/>
      <c r="V74" s="289"/>
      <c r="W74" s="289"/>
      <c r="X74" s="289"/>
      <c r="Y74" s="289"/>
      <c r="Z74" s="429"/>
      <c r="AA74" s="429"/>
      <c r="AB74" s="429"/>
      <c r="AC74" s="429"/>
      <c r="AD74" s="429"/>
      <c r="AE74" s="429"/>
      <c r="AF74" s="289"/>
      <c r="AG74" s="290"/>
      <c r="AH74" s="427"/>
      <c r="AI74" s="289"/>
      <c r="AJ74" s="289"/>
      <c r="AK74" s="289"/>
      <c r="AL74" s="289"/>
      <c r="AM74" s="289"/>
      <c r="AN74" s="429"/>
      <c r="AO74" s="429"/>
      <c r="AP74" s="429"/>
      <c r="AQ74" s="429"/>
      <c r="AR74" s="429"/>
      <c r="AS74" s="429"/>
      <c r="AT74" s="429"/>
      <c r="AU74" s="429"/>
      <c r="AV74" s="289"/>
      <c r="AW74" s="289"/>
      <c r="AX74" s="290"/>
      <c r="AY74" s="427"/>
      <c r="AZ74" s="289"/>
      <c r="BA74" s="289"/>
      <c r="BB74" s="289"/>
      <c r="BC74" s="289"/>
      <c r="BD74" s="289"/>
      <c r="BE74" s="289"/>
      <c r="BF74" s="289"/>
      <c r="BG74" s="289"/>
      <c r="BH74" s="290"/>
      <c r="BI74" s="461"/>
      <c r="BJ74" s="462"/>
      <c r="BK74" s="462"/>
      <c r="BL74" s="462"/>
      <c r="BM74" s="462"/>
      <c r="BN74" s="462"/>
      <c r="BO74" s="462"/>
      <c r="BP74" s="462"/>
      <c r="BQ74" s="462"/>
      <c r="BR74" s="462"/>
      <c r="BS74" s="462"/>
      <c r="BT74" s="462"/>
      <c r="BU74" s="462"/>
      <c r="BV74" s="462"/>
      <c r="BW74" s="462"/>
      <c r="BX74" s="462"/>
      <c r="BY74" s="462"/>
      <c r="BZ74" s="462"/>
      <c r="CA74" s="462"/>
      <c r="CB74" s="462"/>
      <c r="CC74" s="462"/>
      <c r="CD74" s="462"/>
      <c r="CE74" s="464"/>
      <c r="CF74" s="465"/>
      <c r="CG74" s="29"/>
    </row>
  </sheetData>
  <sheetProtection password="CA30" sheet="1" objects="1" scenarios="1"/>
  <mergeCells count="433">
    <mergeCell ref="BC73:BC74"/>
    <mergeCell ref="BD73:BE74"/>
    <mergeCell ref="BF73:BG74"/>
    <mergeCell ref="BH73:BH74"/>
    <mergeCell ref="BI73:CD74"/>
    <mergeCell ref="CE73:CF74"/>
    <mergeCell ref="A69:B74"/>
    <mergeCell ref="C69:H74"/>
    <mergeCell ref="AY73:BB74"/>
    <mergeCell ref="AV73:AW74"/>
    <mergeCell ref="I69:S70"/>
    <mergeCell ref="T69:Y70"/>
    <mergeCell ref="Z69:AE74"/>
    <mergeCell ref="AF69:AG74"/>
    <mergeCell ref="AH69:AK70"/>
    <mergeCell ref="AM69:AW70"/>
    <mergeCell ref="AY69:BB70"/>
    <mergeCell ref="AX73:AX74"/>
    <mergeCell ref="BU65:CD66"/>
    <mergeCell ref="BI69:BR70"/>
    <mergeCell ref="BS69:BT70"/>
    <mergeCell ref="BU69:CD70"/>
    <mergeCell ref="CE69:CF70"/>
    <mergeCell ref="I71:S74"/>
    <mergeCell ref="T71:Y72"/>
    <mergeCell ref="AH71:AK72"/>
    <mergeCell ref="AM71:AP72"/>
    <mergeCell ref="AR71:AU72"/>
    <mergeCell ref="AV71:AW72"/>
    <mergeCell ref="AY71:BB72"/>
    <mergeCell ref="BC71:BC72"/>
    <mergeCell ref="BD71:BE72"/>
    <mergeCell ref="BF71:BG72"/>
    <mergeCell ref="BH71:BH72"/>
    <mergeCell ref="BI71:BR72"/>
    <mergeCell ref="BS71:BT72"/>
    <mergeCell ref="BU71:CD72"/>
    <mergeCell ref="CE71:CF72"/>
    <mergeCell ref="T73:Y74"/>
    <mergeCell ref="AH73:AH74"/>
    <mergeCell ref="AI73:AM74"/>
    <mergeCell ref="AN73:AU74"/>
    <mergeCell ref="C57:H62"/>
    <mergeCell ref="AY61:BB62"/>
    <mergeCell ref="CE65:CF66"/>
    <mergeCell ref="T67:Y68"/>
    <mergeCell ref="AH67:AH68"/>
    <mergeCell ref="AI67:AM68"/>
    <mergeCell ref="AN67:AU68"/>
    <mergeCell ref="AV67:AW68"/>
    <mergeCell ref="AX67:AX68"/>
    <mergeCell ref="AY67:BB68"/>
    <mergeCell ref="BC67:BC68"/>
    <mergeCell ref="BD67:BE68"/>
    <mergeCell ref="BF67:BG68"/>
    <mergeCell ref="BH67:BH68"/>
    <mergeCell ref="BI67:CD68"/>
    <mergeCell ref="CE67:CF68"/>
    <mergeCell ref="AV65:AW66"/>
    <mergeCell ref="AY65:BB66"/>
    <mergeCell ref="BC65:BC66"/>
    <mergeCell ref="BD65:BE66"/>
    <mergeCell ref="BF65:BG66"/>
    <mergeCell ref="BH65:BH66"/>
    <mergeCell ref="BI65:BR66"/>
    <mergeCell ref="BS65:BT66"/>
    <mergeCell ref="BD61:BE62"/>
    <mergeCell ref="BF61:BG62"/>
    <mergeCell ref="BH61:BH62"/>
    <mergeCell ref="BI61:CD62"/>
    <mergeCell ref="CE61:CF62"/>
    <mergeCell ref="A63:B68"/>
    <mergeCell ref="C63:H68"/>
    <mergeCell ref="I63:S64"/>
    <mergeCell ref="T63:Y64"/>
    <mergeCell ref="Z63:AE68"/>
    <mergeCell ref="AF63:AG68"/>
    <mergeCell ref="AH63:AK64"/>
    <mergeCell ref="AM63:AW64"/>
    <mergeCell ref="AY63:BB64"/>
    <mergeCell ref="BI63:BR64"/>
    <mergeCell ref="BS63:BT64"/>
    <mergeCell ref="BU63:CD64"/>
    <mergeCell ref="CE63:CF64"/>
    <mergeCell ref="I65:S68"/>
    <mergeCell ref="T65:Y66"/>
    <mergeCell ref="AH65:AK66"/>
    <mergeCell ref="AM65:AP66"/>
    <mergeCell ref="AR65:AU66"/>
    <mergeCell ref="A57:B62"/>
    <mergeCell ref="I57:S58"/>
    <mergeCell ref="T57:Y58"/>
    <mergeCell ref="Z57:AE62"/>
    <mergeCell ref="AF57:AG62"/>
    <mergeCell ref="AH57:AK58"/>
    <mergeCell ref="AM57:AW58"/>
    <mergeCell ref="AY57:BB58"/>
    <mergeCell ref="AX61:AX62"/>
    <mergeCell ref="BC61:BC62"/>
    <mergeCell ref="BI57:BR58"/>
    <mergeCell ref="BS57:BT58"/>
    <mergeCell ref="BU57:CD58"/>
    <mergeCell ref="CE57:CF58"/>
    <mergeCell ref="I59:S62"/>
    <mergeCell ref="T59:Y60"/>
    <mergeCell ref="AH59:AK60"/>
    <mergeCell ref="AM59:AP60"/>
    <mergeCell ref="AR59:AU60"/>
    <mergeCell ref="AV59:AW60"/>
    <mergeCell ref="AY59:BB60"/>
    <mergeCell ref="BC59:BC60"/>
    <mergeCell ref="BD59:BE60"/>
    <mergeCell ref="BF59:BG60"/>
    <mergeCell ref="BH59:BH60"/>
    <mergeCell ref="BI59:BR60"/>
    <mergeCell ref="BS59:BT60"/>
    <mergeCell ref="BU59:CD60"/>
    <mergeCell ref="CE59:CF60"/>
    <mergeCell ref="T61:Y62"/>
    <mergeCell ref="AH61:AH62"/>
    <mergeCell ref="AI61:AM62"/>
    <mergeCell ref="AN61:AU62"/>
    <mergeCell ref="AV61:AW62"/>
    <mergeCell ref="A8:CH9"/>
    <mergeCell ref="AE1:BC2"/>
    <mergeCell ref="AE4:BC5"/>
    <mergeCell ref="AG6:AH7"/>
    <mergeCell ref="AZ6:BA7"/>
    <mergeCell ref="AM15:AW16"/>
    <mergeCell ref="AY10:BH11"/>
    <mergeCell ref="AY12:BH14"/>
    <mergeCell ref="T10:AX11"/>
    <mergeCell ref="BI10:BT11"/>
    <mergeCell ref="A10:B14"/>
    <mergeCell ref="C10:H14"/>
    <mergeCell ref="I10:S11"/>
    <mergeCell ref="BU15:CD16"/>
    <mergeCell ref="CE15:CF16"/>
    <mergeCell ref="I12:S14"/>
    <mergeCell ref="AH12:AX14"/>
    <mergeCell ref="T12:AG14"/>
    <mergeCell ref="BR6:CF7"/>
    <mergeCell ref="BL6:BQ7"/>
    <mergeCell ref="BI15:BR16"/>
    <mergeCell ref="BS15:BT16"/>
    <mergeCell ref="AR6:AW7"/>
    <mergeCell ref="BU10:CF11"/>
    <mergeCell ref="BI12:BT13"/>
    <mergeCell ref="BU12:CF13"/>
    <mergeCell ref="BI14:CF14"/>
    <mergeCell ref="A15:B20"/>
    <mergeCell ref="I17:S20"/>
    <mergeCell ref="T15:Y16"/>
    <mergeCell ref="T17:Y18"/>
    <mergeCell ref="T19:Y20"/>
    <mergeCell ref="I15:S16"/>
    <mergeCell ref="C15:H20"/>
    <mergeCell ref="BI19:CD20"/>
    <mergeCell ref="CE19:CF20"/>
    <mergeCell ref="Z15:AE20"/>
    <mergeCell ref="AF15:AG20"/>
    <mergeCell ref="AH15:AK16"/>
    <mergeCell ref="AH17:AK18"/>
    <mergeCell ref="AH19:AH20"/>
    <mergeCell ref="AI19:AM20"/>
    <mergeCell ref="BD17:BE18"/>
    <mergeCell ref="BU17:CD18"/>
    <mergeCell ref="CE17:CF18"/>
    <mergeCell ref="AY19:BB20"/>
    <mergeCell ref="BC17:BC18"/>
    <mergeCell ref="AH25:AH26"/>
    <mergeCell ref="AI25:AM26"/>
    <mergeCell ref="AN25:AU26"/>
    <mergeCell ref="AY21:BB22"/>
    <mergeCell ref="BI21:BR22"/>
    <mergeCell ref="AM17:AP18"/>
    <mergeCell ref="AR17:AU18"/>
    <mergeCell ref="AY15:BB16"/>
    <mergeCell ref="BS21:BT22"/>
    <mergeCell ref="BF17:BG18"/>
    <mergeCell ref="BI17:BR18"/>
    <mergeCell ref="BS17:BT18"/>
    <mergeCell ref="BI25:CD26"/>
    <mergeCell ref="AN19:AU20"/>
    <mergeCell ref="AV19:AW20"/>
    <mergeCell ref="AX19:AX20"/>
    <mergeCell ref="AV17:AW18"/>
    <mergeCell ref="AY17:BB18"/>
    <mergeCell ref="BH17:BH18"/>
    <mergeCell ref="BC19:BC20"/>
    <mergeCell ref="BD19:BE20"/>
    <mergeCell ref="BF19:BG20"/>
    <mergeCell ref="BH19:BH20"/>
    <mergeCell ref="CE25:CF26"/>
    <mergeCell ref="AV25:AW26"/>
    <mergeCell ref="AX25:AX26"/>
    <mergeCell ref="AY25:BB26"/>
    <mergeCell ref="BC25:BC26"/>
    <mergeCell ref="BD25:BE26"/>
    <mergeCell ref="AM21:AW22"/>
    <mergeCell ref="AM23:AP24"/>
    <mergeCell ref="AR23:AU24"/>
    <mergeCell ref="BU21:CD22"/>
    <mergeCell ref="AF21:AG26"/>
    <mergeCell ref="AH21:AK22"/>
    <mergeCell ref="A21:B26"/>
    <mergeCell ref="C21:H26"/>
    <mergeCell ref="I21:S22"/>
    <mergeCell ref="T21:Y22"/>
    <mergeCell ref="Z21:AE26"/>
    <mergeCell ref="T25:Y26"/>
    <mergeCell ref="CE21:CF22"/>
    <mergeCell ref="I23:S26"/>
    <mergeCell ref="T23:Y24"/>
    <mergeCell ref="AH23:AK24"/>
    <mergeCell ref="AV23:AW24"/>
    <mergeCell ref="AY23:BB24"/>
    <mergeCell ref="BC23:BC24"/>
    <mergeCell ref="BD23:BE24"/>
    <mergeCell ref="BF23:BG24"/>
    <mergeCell ref="BH23:BH24"/>
    <mergeCell ref="BI23:BR24"/>
    <mergeCell ref="BS23:BT24"/>
    <mergeCell ref="BU23:CD24"/>
    <mergeCell ref="CE23:CF24"/>
    <mergeCell ref="BF25:BG26"/>
    <mergeCell ref="BH25:BH26"/>
    <mergeCell ref="AN31:AU32"/>
    <mergeCell ref="CE31:CF32"/>
    <mergeCell ref="I27:S28"/>
    <mergeCell ref="T27:Y28"/>
    <mergeCell ref="Z27:AE32"/>
    <mergeCell ref="AF27:AG32"/>
    <mergeCell ref="AH27:AK28"/>
    <mergeCell ref="AM27:AW28"/>
    <mergeCell ref="AV31:AW32"/>
    <mergeCell ref="A27:B32"/>
    <mergeCell ref="C27:H32"/>
    <mergeCell ref="AY27:BB28"/>
    <mergeCell ref="BI27:BR28"/>
    <mergeCell ref="BS27:BT28"/>
    <mergeCell ref="BU27:CD28"/>
    <mergeCell ref="CE27:CF28"/>
    <mergeCell ref="I29:S32"/>
    <mergeCell ref="T29:Y30"/>
    <mergeCell ref="AH29:AK30"/>
    <mergeCell ref="AM29:AP30"/>
    <mergeCell ref="AR29:AU30"/>
    <mergeCell ref="AV29:AW30"/>
    <mergeCell ref="AY29:BB30"/>
    <mergeCell ref="BC29:BC30"/>
    <mergeCell ref="BD29:BE30"/>
    <mergeCell ref="BF29:BG30"/>
    <mergeCell ref="BH29:BH30"/>
    <mergeCell ref="BI29:BR30"/>
    <mergeCell ref="BS29:BT30"/>
    <mergeCell ref="BU29:CD30"/>
    <mergeCell ref="CE29:CF30"/>
    <mergeCell ref="T31:Y32"/>
    <mergeCell ref="AH31:AH32"/>
    <mergeCell ref="BI35:BR36"/>
    <mergeCell ref="AX31:AX32"/>
    <mergeCell ref="AY31:BB32"/>
    <mergeCell ref="BC31:BC32"/>
    <mergeCell ref="BD31:BE32"/>
    <mergeCell ref="BF31:BG32"/>
    <mergeCell ref="BH31:BH32"/>
    <mergeCell ref="BI31:CD32"/>
    <mergeCell ref="BI33:BR34"/>
    <mergeCell ref="BS33:BT34"/>
    <mergeCell ref="BU33:CD34"/>
    <mergeCell ref="BH35:BH36"/>
    <mergeCell ref="A33:B38"/>
    <mergeCell ref="C33:H38"/>
    <mergeCell ref="I33:S34"/>
    <mergeCell ref="T33:Y34"/>
    <mergeCell ref="Z33:AE38"/>
    <mergeCell ref="AF33:AG38"/>
    <mergeCell ref="AH33:AK34"/>
    <mergeCell ref="AM33:AW34"/>
    <mergeCell ref="AY33:BB34"/>
    <mergeCell ref="I35:S38"/>
    <mergeCell ref="T35:Y36"/>
    <mergeCell ref="AH35:AK36"/>
    <mergeCell ref="CE33:CF34"/>
    <mergeCell ref="BS35:BT36"/>
    <mergeCell ref="BU35:CD36"/>
    <mergeCell ref="CE35:CF36"/>
    <mergeCell ref="T37:Y38"/>
    <mergeCell ref="AH37:AH38"/>
    <mergeCell ref="AI37:AM38"/>
    <mergeCell ref="AN37:AU38"/>
    <mergeCell ref="AV37:AW38"/>
    <mergeCell ref="AX37:AX38"/>
    <mergeCell ref="AY37:BB38"/>
    <mergeCell ref="BC37:BC38"/>
    <mergeCell ref="BD37:BE38"/>
    <mergeCell ref="BF37:BG38"/>
    <mergeCell ref="BH37:BH38"/>
    <mergeCell ref="BI37:CD38"/>
    <mergeCell ref="CE37:CF38"/>
    <mergeCell ref="AM35:AP36"/>
    <mergeCell ref="AR35:AU36"/>
    <mergeCell ref="AV35:AW36"/>
    <mergeCell ref="AY35:BB36"/>
    <mergeCell ref="BC35:BC36"/>
    <mergeCell ref="BD35:BE36"/>
    <mergeCell ref="BF35:BG36"/>
    <mergeCell ref="BU41:CD42"/>
    <mergeCell ref="CE41:CF42"/>
    <mergeCell ref="T43:Y44"/>
    <mergeCell ref="AH43:AH44"/>
    <mergeCell ref="BC43:BC44"/>
    <mergeCell ref="BD43:BE44"/>
    <mergeCell ref="BF43:BG44"/>
    <mergeCell ref="BH43:BH44"/>
    <mergeCell ref="BI43:CD44"/>
    <mergeCell ref="CE43:CF44"/>
    <mergeCell ref="AR41:AU42"/>
    <mergeCell ref="AV41:AW42"/>
    <mergeCell ref="AY41:BB42"/>
    <mergeCell ref="BC41:BC42"/>
    <mergeCell ref="BD41:BE42"/>
    <mergeCell ref="BF41:BG42"/>
    <mergeCell ref="BH41:BH42"/>
    <mergeCell ref="BI41:BR42"/>
    <mergeCell ref="BS41:BT42"/>
    <mergeCell ref="BF49:BG50"/>
    <mergeCell ref="BH49:BH50"/>
    <mergeCell ref="BI49:CD50"/>
    <mergeCell ref="CE49:CF50"/>
    <mergeCell ref="A39:B44"/>
    <mergeCell ref="C39:H44"/>
    <mergeCell ref="I39:S40"/>
    <mergeCell ref="T39:Y40"/>
    <mergeCell ref="Z39:AE44"/>
    <mergeCell ref="AF39:AG44"/>
    <mergeCell ref="AH39:AK40"/>
    <mergeCell ref="AM39:AW40"/>
    <mergeCell ref="AY39:BB40"/>
    <mergeCell ref="AX43:AX44"/>
    <mergeCell ref="AY43:BB44"/>
    <mergeCell ref="AI43:AM44"/>
    <mergeCell ref="AN43:AU44"/>
    <mergeCell ref="AV43:AW44"/>
    <mergeCell ref="BI39:BR40"/>
    <mergeCell ref="BS39:BT40"/>
    <mergeCell ref="BU39:CD40"/>
    <mergeCell ref="CE39:CF40"/>
    <mergeCell ref="I41:S44"/>
    <mergeCell ref="T41:Y42"/>
    <mergeCell ref="BF47:BG48"/>
    <mergeCell ref="BH47:BH48"/>
    <mergeCell ref="BI47:BR48"/>
    <mergeCell ref="BS47:BT48"/>
    <mergeCell ref="BU47:CD48"/>
    <mergeCell ref="BI45:BR46"/>
    <mergeCell ref="BS45:BT46"/>
    <mergeCell ref="BU45:CD46"/>
    <mergeCell ref="A45:B50"/>
    <mergeCell ref="C45:H50"/>
    <mergeCell ref="I45:S46"/>
    <mergeCell ref="T45:Y46"/>
    <mergeCell ref="Z45:AE50"/>
    <mergeCell ref="AF45:AG50"/>
    <mergeCell ref="AH45:AK46"/>
    <mergeCell ref="AM45:AW46"/>
    <mergeCell ref="AY45:BB46"/>
    <mergeCell ref="AV49:AW50"/>
    <mergeCell ref="AX49:AX50"/>
    <mergeCell ref="AY49:BB50"/>
    <mergeCell ref="I47:S50"/>
    <mergeCell ref="T47:Y48"/>
    <mergeCell ref="AH47:AK48"/>
    <mergeCell ref="AM47:AP48"/>
    <mergeCell ref="CE45:CF46"/>
    <mergeCell ref="CE47:CF48"/>
    <mergeCell ref="A51:B56"/>
    <mergeCell ref="C51:H56"/>
    <mergeCell ref="I51:S52"/>
    <mergeCell ref="T51:Y52"/>
    <mergeCell ref="Z51:AE56"/>
    <mergeCell ref="AF51:AG56"/>
    <mergeCell ref="AH51:AK52"/>
    <mergeCell ref="AM51:AW52"/>
    <mergeCell ref="AY51:BB52"/>
    <mergeCell ref="AX55:AX56"/>
    <mergeCell ref="AY55:BB56"/>
    <mergeCell ref="I53:S56"/>
    <mergeCell ref="T53:Y54"/>
    <mergeCell ref="AH53:AK54"/>
    <mergeCell ref="AM53:AP54"/>
    <mergeCell ref="AR53:AU54"/>
    <mergeCell ref="AV53:AW54"/>
    <mergeCell ref="AY53:BB54"/>
    <mergeCell ref="BF55:BG56"/>
    <mergeCell ref="BH55:BH56"/>
    <mergeCell ref="BI55:CD56"/>
    <mergeCell ref="CE55:CF56"/>
    <mergeCell ref="BI51:BR52"/>
    <mergeCell ref="BS51:BT52"/>
    <mergeCell ref="BU51:CD52"/>
    <mergeCell ref="CE51:CF52"/>
    <mergeCell ref="BF53:BG54"/>
    <mergeCell ref="BH53:BH54"/>
    <mergeCell ref="BI53:BR54"/>
    <mergeCell ref="BS53:BT54"/>
    <mergeCell ref="BU53:CD54"/>
    <mergeCell ref="CE53:CF54"/>
    <mergeCell ref="AK6:AP7"/>
    <mergeCell ref="BC53:BC54"/>
    <mergeCell ref="BD53:BE54"/>
    <mergeCell ref="T55:Y56"/>
    <mergeCell ref="AH55:AH56"/>
    <mergeCell ref="AI55:AM56"/>
    <mergeCell ref="AN55:AU56"/>
    <mergeCell ref="AV55:AW56"/>
    <mergeCell ref="BC55:BC56"/>
    <mergeCell ref="BD55:BE56"/>
    <mergeCell ref="BC47:BC48"/>
    <mergeCell ref="BD47:BE48"/>
    <mergeCell ref="AR47:AU48"/>
    <mergeCell ref="T49:Y50"/>
    <mergeCell ref="AH49:AH50"/>
    <mergeCell ref="AI49:AM50"/>
    <mergeCell ref="AN49:AU50"/>
    <mergeCell ref="AV47:AW48"/>
    <mergeCell ref="AY47:BB48"/>
    <mergeCell ref="BC49:BC50"/>
    <mergeCell ref="BD49:BE50"/>
    <mergeCell ref="AH41:AK42"/>
    <mergeCell ref="AM41:AP42"/>
    <mergeCell ref="AI31:AM32"/>
  </mergeCells>
  <phoneticPr fontId="1"/>
  <pageMargins left="0.78740157480314965" right="0.39370078740157483" top="0.39370078740157483" bottom="0.39370078740157483" header="0.31496062992125984" footer="0.31496062992125984"/>
  <pageSetup paperSize="9" orientation="landscape" r:id="rId1"/>
  <headerFooter>
    <oddFooter>&amp;C&amp;P ページ</oddFooter>
  </headerFooter>
  <rowBreaks count="1" manualBreakCount="1">
    <brk id="5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H8" sqref="H8"/>
    </sheetView>
  </sheetViews>
  <sheetFormatPr defaultRowHeight="13.5"/>
  <cols>
    <col min="2" max="14" width="6.25" customWidth="1"/>
  </cols>
  <sheetData>
    <row r="1" spans="1:15" ht="22.5" customHeight="1">
      <c r="A1" t="s">
        <v>140</v>
      </c>
      <c r="B1" s="503" t="str">
        <f>①園入力用名簿!$C$2</f>
        <v>４月分</v>
      </c>
      <c r="C1" s="504"/>
      <c r="D1" s="98"/>
      <c r="E1" s="98"/>
    </row>
    <row r="2" spans="1:15" s="98" customFormat="1">
      <c r="B2" s="94"/>
      <c r="C2" s="94"/>
    </row>
    <row r="3" spans="1:15" s="98" customFormat="1" ht="18.75" customHeight="1">
      <c r="A3" s="98" t="s">
        <v>143</v>
      </c>
    </row>
    <row r="4" spans="1:15" s="98" customFormat="1" ht="18.75" customHeight="1">
      <c r="A4" s="98" t="s">
        <v>141</v>
      </c>
      <c r="B4" s="114"/>
      <c r="C4" s="112">
        <v>4</v>
      </c>
      <c r="D4" s="107">
        <v>5</v>
      </c>
      <c r="E4" s="107">
        <v>6</v>
      </c>
      <c r="F4" s="107">
        <v>7</v>
      </c>
      <c r="G4" s="107">
        <v>8</v>
      </c>
      <c r="H4" s="107">
        <v>9</v>
      </c>
      <c r="I4" s="107">
        <v>10</v>
      </c>
      <c r="J4" s="107">
        <v>11</v>
      </c>
      <c r="K4" s="107">
        <v>12</v>
      </c>
      <c r="L4" s="107">
        <v>1</v>
      </c>
      <c r="M4" s="107">
        <v>2</v>
      </c>
      <c r="N4" s="108">
        <v>3</v>
      </c>
      <c r="O4" s="98" t="s">
        <v>142</v>
      </c>
    </row>
    <row r="5" spans="1:15" s="98" customFormat="1" ht="18.75" customHeight="1">
      <c r="A5" s="109"/>
      <c r="B5" s="104">
        <f>IF($B$1="４月分",0,IF($B$1="５月分",0,IF($B$1="６月分",0,IF($B$1="７月分",0,IF($B$1="８月分",0,IF($B$1="９月分",0,IF($B$1="10月分",0,IF($B$1="11月分",0,IF($B$1="12月分",0,IF($B$1="１月分",0,IF($B$1="２月分",0,IF($B$1="３月分",0))))))))))))</f>
        <v>0</v>
      </c>
      <c r="C5" s="113">
        <f>IF($B$1="４月分",0,0)</f>
        <v>0</v>
      </c>
      <c r="D5" s="120">
        <f>IF($B$1="４月分",0,IF($B$1="５月分",1,0))</f>
        <v>0</v>
      </c>
      <c r="E5" s="105">
        <f>IF($B$1="４月分",0,IF($B$1="５月分",1,IF($B$1="６月分",2,0)))</f>
        <v>0</v>
      </c>
      <c r="F5" s="105">
        <f>IF($B$1="４月分",0,IF($B$1="５月分",1,IF($B$1="６月分",2,IF($B$1="７月分",3,0))))</f>
        <v>0</v>
      </c>
      <c r="G5" s="105">
        <f>IF($B$1="４月分",0,IF($B$1="５月分",1,IF($B$1="６月分",2,IF($B$1="７月分",3,IF($B$1="８月分",4,0)))))</f>
        <v>0</v>
      </c>
      <c r="H5" s="105">
        <f>IF($B$1="４月分",0,IF($B$1="５月分",1,IF($B$1="６月分",2,IF($B$1="７月分",3,IF($B$1="８月分",4,IF($B$1="９月分",5,0))))))</f>
        <v>0</v>
      </c>
      <c r="I5" s="105">
        <f>IF($B$1="４月分",0,IF($B$1="５月分",1,IF($B$1="６月分",2,IF($B$1="７月分",3,IF($B$1="８月分",4,IF($B$1="９月分",5,IF($B$1="10月分",6,0)))))))</f>
        <v>0</v>
      </c>
      <c r="J5" s="105">
        <f>IF($B$1="４月分",0,IF($B$1="５月分",1,IF($B$1="６月分",2,IF($B$1="７月分",3,IF($B$1="８月分",4,IF($B$1="９月分",5,IF($B$1="10月分",6,IF($B$1="11月分",7,0))))))))</f>
        <v>0</v>
      </c>
      <c r="K5" s="105">
        <f>IF($B$1="４月分",0,IF($B$1="５月分",1,IF($B$1="６月分",2,IF($B$1="７月分",3,IF($B$1="８月分",4,IF($B$1="９月分",5,IF($B$1="10月分",6,IF($B$1="11月分",7,IF($B$1="12月分",8,0)))))))))</f>
        <v>0</v>
      </c>
      <c r="L5" s="105">
        <f>IF($B$1="４月分",0,IF($B$1="５月分",1,IF($B$1="６月分",2,IF($B$1="７月分",3,IF($B$1="８月分",4,IF($B$1="９月分",5,IF($B$1="10月分",6,IF($B$1="11月分",7,IF($B$1="12月分",8,IF($B$1="１月分",9,0))))))))))</f>
        <v>0</v>
      </c>
      <c r="M5" s="105">
        <f>IF($B$1="４月分",0,IF($B$1="５月分",1,IF($B$1="６月分",2,IF($B$1="７月分",3,IF($B$1="８月分",4,IF($B$1="９月分",5,IF($B$1="10月分",6,IF($B$1="11月分",7,IF($B$1="12月分",8,IF($B$1="１月分",9,IF($B$1="２月分",10,0)))))))))))</f>
        <v>0</v>
      </c>
      <c r="N5" s="106">
        <f>IF($B$1="４月分",0,IF($B$1="５月分",1,IF($B$1="６月分",2,IF($B$1="７月分",3,IF($B$1="８月分",4,IF($B$1="９月分",5,IF($B$1="10月分",6,IF($B$1="11月分",7,IF($B$1="12月分",8,IF($B$1="１月分",9,IF($B$1="２月分",10,IF($B$1="３月分",11))))))))))))</f>
        <v>0</v>
      </c>
    </row>
    <row r="6" spans="1:15" s="98" customFormat="1" ht="18.75" customHeight="1">
      <c r="A6" s="110">
        <v>4</v>
      </c>
      <c r="B6" s="101">
        <f t="shared" ref="B6:B17" si="0">IF($B$1="４月分",0,IF($B$1="５月分",0,IF($B$1="６月分",0,IF($B$1="７月分",0,IF($B$1="８月分",0,IF($B$1="９月分",0,IF($B$1="10月分",0,IF($B$1="11月分",0,IF($B$1="12月分",0,IF($B$1="１月分",0,IF($B$1="２月分",0,IF($B$1="３月分",0))))))))))))</f>
        <v>0</v>
      </c>
      <c r="C6" s="99">
        <f>IF($B$1="４月分",0,0)</f>
        <v>0</v>
      </c>
      <c r="D6" s="100">
        <f>IF($B$1="４月分",0,IF($B$1="５月分",1,0))</f>
        <v>0</v>
      </c>
      <c r="E6" s="100">
        <f>IF($B$1="４月分",0,IF($B$1="５月分",1,IF($B$1="６月分",2,0)))</f>
        <v>0</v>
      </c>
      <c r="F6" s="100">
        <f>IF($B$1="４月分",0,IF($B$1="５月分",1,IF($B$1="６月分",2,IF($B$1="７月分",3,0))))</f>
        <v>0</v>
      </c>
      <c r="G6" s="100">
        <f>IF($B$1="４月分",0,IF($B$1="５月分",1,IF($B$1="６月分",2,IF($B$1="７月分",3,IF($B$1="８月分",4,0)))))</f>
        <v>0</v>
      </c>
      <c r="H6" s="100">
        <f>IF($B$1="４月分",0,IF($B$1="５月分",1,IF($B$1="６月分",2,IF($B$1="７月分",3,IF($B$1="８月分",4,IF($B$1="９月分",5,0))))))</f>
        <v>0</v>
      </c>
      <c r="I6" s="100">
        <f>IF($B$1="４月分",0,IF($B$1="５月分",1,IF($B$1="６月分",2,IF($B$1="７月分",3,IF($B$1="８月分",4,IF($B$1="９月分",5,IF($B$1="10月分",6,0)))))))</f>
        <v>0</v>
      </c>
      <c r="J6" s="100">
        <f>IF($B$1="４月分",0,IF($B$1="５月分",1,IF($B$1="６月分",2,IF($B$1="７月分",3,IF($B$1="８月分",4,IF($B$1="９月分",5,IF($B$1="10月分",6,IF($B$1="11月分",7,0))))))))</f>
        <v>0</v>
      </c>
      <c r="K6" s="100">
        <f>IF($B$1="４月分",0,IF($B$1="５月分",1,IF($B$1="６月分",2,IF($B$1="７月分",3,IF($B$1="８月分",4,IF($B$1="９月分",5,IF($B$1="10月分",6,IF($B$1="11月分",7,IF($B$1="12月分",8,0)))))))))</f>
        <v>0</v>
      </c>
      <c r="L6" s="100">
        <f>IF($B$1="４月分",0,IF($B$1="５月分",1,IF($B$1="６月分",2,IF($B$1="７月分",3,IF($B$1="８月分",4,IF($B$1="９月分",5,IF($B$1="10月分",6,IF($B$1="11月分",7,IF($B$1="12月分",8,IF($B$1="１月分",9,0))))))))))</f>
        <v>0</v>
      </c>
      <c r="M6" s="100">
        <f>IF($B$1="４月分",0,IF($B$1="５月分",1,IF($B$1="６月分",2,IF($B$1="７月分",3,IF($B$1="８月分",4,IF($B$1="９月分",5,IF($B$1="10月分",6,IF($B$1="11月分",7,IF($B$1="12月分",8,IF($B$1="１月分",9,IF($B$1="２月分",10,0)))))))))))</f>
        <v>0</v>
      </c>
      <c r="N6" s="102">
        <f>IF($B$1="４月分",0,IF($B$1="５月分",1,IF($B$1="６月分",2,IF($B$1="７月分",3,IF($B$1="８月分",4,IF($B$1="９月分",5,IF($B$1="10月分",6,IF($B$1="11月分",7,IF($B$1="12月分",8,IF($B$1="１月分",9,IF($B$1="２月分",10,IF($B$1="３月分",11))))))))))))</f>
        <v>0</v>
      </c>
    </row>
    <row r="7" spans="1:15" s="98" customFormat="1" ht="18.75" customHeight="1">
      <c r="A7" s="110">
        <v>5</v>
      </c>
      <c r="B7" s="101">
        <f t="shared" si="0"/>
        <v>0</v>
      </c>
      <c r="C7" s="117"/>
      <c r="D7" s="100">
        <f>IF($B$1="４月分",0,IF($B$1="５月分",0,0))</f>
        <v>0</v>
      </c>
      <c r="E7" s="100">
        <f>IF($B$1="４月分",0,IF($B$1="５月分",0,IF($B$1="６月分",1,0)))</f>
        <v>0</v>
      </c>
      <c r="F7" s="100">
        <f>IF($B$1="４月分",0,IF($B$1="５月分",0,IF($B$1="６月分",1,IF($B$1="７月分",2,0))))</f>
        <v>0</v>
      </c>
      <c r="G7" s="100">
        <f>IF($B$1="４月分",0,IF($B$1="５月分",0,IF($B$1="６月分",1,IF($B$1="７月分",2,IF($B$1="８月分",3,0)))))</f>
        <v>0</v>
      </c>
      <c r="H7" s="100">
        <f>IF($B$1="４月分",0,IF($B$1="５月分",0,IF($B$1="６月分",1,IF($B$1="７月分",2,IF($B$1="８月分",3,IF($B$1="９月分",4,0))))))</f>
        <v>0</v>
      </c>
      <c r="I7" s="100">
        <f>IF($B$1="４月分",0,IF($B$1="５月分",0,IF($B$1="６月分",1,IF($B$1="７月分",2,IF($B$1="８月分",3,IF($B$1="９月分",4,IF($B$1="10月分",5,0)))))))</f>
        <v>0</v>
      </c>
      <c r="J7" s="100">
        <f>IF($B$1="４月分",0,IF($B$1="５月分",0,IF($B$1="６月分",1,IF($B$1="７月分",2,IF($B$1="８月分",3,IF($B$1="９月分",4,IF($B$1="10月分",5,IF($B$1="11月分",6,0))))))))</f>
        <v>0</v>
      </c>
      <c r="K7" s="100">
        <f>IF($B$1="４月分",0,IF($B$1="５月分",0,IF($B$1="６月分",1,IF($B$1="７月分",2,IF($B$1="８月分",3,IF($B$1="９月分",4,IF($B$1="10月分",5,IF($B$1="11月分",6,IF($B$1="12月分",7,0)))))))))</f>
        <v>0</v>
      </c>
      <c r="L7" s="100">
        <f>IF($B$1="４月分",0,IF($B$1="５月分",0,IF($B$1="６月分",1,IF($B$1="７月分",2,IF($B$1="８月分",3,IF($B$1="９月分",4,IF($B$1="10月分",5,IF($B$1="11月分",6,IF($B$1="12月分",7,IF($B$1="１月分",8,0))))))))))</f>
        <v>0</v>
      </c>
      <c r="M7" s="100">
        <f>IF($B$1="４月分",0,IF($B$1="５月分",0,IF($B$1="６月分",1,IF($B$1="７月分",2,IF($B$1="８月分",3,IF($B$1="９月分",4,IF($B$1="10月分",5,IF($B$1="11月分",6,IF($B$1="12月分",7,IF($B$1="１月分",8,IF($B$1="２月分",9,0)))))))))))</f>
        <v>0</v>
      </c>
      <c r="N7" s="102">
        <f>IF($B$1="４月分",0,IF($B$1="５月分",0,IF($B$1="６月分",1,IF($B$1="７月分",2,IF($B$1="８月分",3,IF($B$1="９月分",4,IF($B$1="10月分",5,IF($B$1="11月分",6,IF($B$1="12月分",7,IF($B$1="１月分",8,IF($B$1="２月分",9,IF($B$1="３月分",10))))))))))))</f>
        <v>0</v>
      </c>
    </row>
    <row r="8" spans="1:15" s="98" customFormat="1" ht="18.75" customHeight="1">
      <c r="A8" s="110">
        <v>6</v>
      </c>
      <c r="B8" s="101">
        <f t="shared" si="0"/>
        <v>0</v>
      </c>
      <c r="C8" s="117"/>
      <c r="D8" s="117"/>
      <c r="E8" s="100">
        <f>IF($B$1="４月分",0,IF($B$1="５月分",0,IF($B$1="６月分",0,0)))</f>
        <v>0</v>
      </c>
      <c r="F8" s="100">
        <f>IF($B$1="４月分",0,IF($B$1="５月分",0,IF($B$1="６月分",0,IF($B$1="７月分",1,0))))</f>
        <v>0</v>
      </c>
      <c r="G8" s="100">
        <f>IF($B$1="４月分",0,IF($B$1="５月分",0,IF($B$1="６月分",0,IF($B$1="７月分",1,IF($B$1="８月分",2,0)))))</f>
        <v>0</v>
      </c>
      <c r="H8" s="100">
        <f>IF($B$1="４月分",0,IF($B$1="５月分",0,IF($B$1="６月分",0,IF($B$1="７月分",1,IF($B$1="８月分",2,IF($B$1="９月分",3,0))))))</f>
        <v>0</v>
      </c>
      <c r="I8" s="100">
        <f>IF($B$1="４月分",0,IF($B$1="５月分",0,IF($B$1="６月分",0,IF($B$1="７月分",1,IF($B$1="８月分",2,IF($B$1="９月分",3,IF($B$1="10月分",4,0)))))))</f>
        <v>0</v>
      </c>
      <c r="J8" s="100">
        <f>IF($B$1="４月分",0,IF($B$1="５月分",0,IF($B$1="６月分",0,IF($B$1="７月分",1,IF($B$1="８月分",2,IF($B$1="９月分",3,IF($B$1="10月分",4,IF($B$1="11月分",5,0))))))))</f>
        <v>0</v>
      </c>
      <c r="K8" s="100">
        <f>IF($B$1="４月分",0,IF($B$1="５月分",0,IF($B$1="６月分",0,IF($B$1="７月分",1,IF($B$1="８月分",2,IF($B$1="９月分",3,IF($B$1="10月分",4,IF($B$1="11月分",5,IF($B$1="12月分",6,0)))))))))</f>
        <v>0</v>
      </c>
      <c r="L8" s="100">
        <f>IF($B$1="４月分",0,IF($B$1="５月分",0,IF($B$1="６月分",0,IF($B$1="７月分",1,IF($B$1="８月分",2,IF($B$1="９月分",3,IF($B$1="10月分",4,IF($B$1="11月分",5,IF($B$1="12月分",6,IF($B$1="１月分",7,0))))))))))</f>
        <v>0</v>
      </c>
      <c r="M8" s="100">
        <f>IF($B$1="４月分",0,IF($B$1="５月分",0,IF($B$1="６月分",0,IF($B$1="７月分",1,IF($B$1="８月分",2,IF($B$1="９月分",3,IF($B$1="10月分",4,IF($B$1="11月分",5,IF($B$1="12月分",6,IF($B$1="１月分",7,IF($B$1="２月分",8,0)))))))))))</f>
        <v>0</v>
      </c>
      <c r="N8" s="102">
        <f>IF($B$1="４月分",0,IF($B$1="５月分",0,IF($B$1="６月分",0,IF($B$1="７月分",1,IF($B$1="８月分",2,IF($B$1="９月分",3,IF($B$1="10月分",4,IF($B$1="11月分",5,IF($B$1="12月分",6,IF($B$1="１月分",7,IF($B$1="２月分",8,IF($B$1="３月分",9))))))))))))</f>
        <v>0</v>
      </c>
    </row>
    <row r="9" spans="1:15" s="98" customFormat="1" ht="18.75" customHeight="1">
      <c r="A9" s="110">
        <v>7</v>
      </c>
      <c r="B9" s="101">
        <f t="shared" si="0"/>
        <v>0</v>
      </c>
      <c r="C9" s="117"/>
      <c r="D9" s="117"/>
      <c r="E9" s="117"/>
      <c r="F9" s="100">
        <f>IF($B$1="４月分",0,IF($B$1="５月分",0,IF($B$1="６月分",0,IF($B$1="７月分",0,0))))</f>
        <v>0</v>
      </c>
      <c r="G9" s="100">
        <f>IF($B$1="４月分",0,IF($B$1="５月分",0,IF($B$1="６月分",0,IF($B$1="７月分",0,IF($B$1="８月分",1,0)))))</f>
        <v>0</v>
      </c>
      <c r="H9" s="100">
        <f>IF($B$1="４月分",0,IF($B$1="５月分",0,IF($B$1="６月分",0,IF($B$1="７月分",0,IF($B$1="８月分",1,IF($B$1="９月分",2,0))))))</f>
        <v>0</v>
      </c>
      <c r="I9" s="100">
        <f>IF($B$1="４月分",0,IF($B$1="５月分",0,IF($B$1="６月分",0,IF($B$1="７月分",0,IF($B$1="８月分",1,IF($B$1="９月分",2,IF($B$1="10月分",3,0)))))))</f>
        <v>0</v>
      </c>
      <c r="J9" s="100">
        <f>IF($B$1="４月分",0,IF($B$1="５月分",0,IF($B$1="６月分",0,IF($B$1="７月分",0,IF($B$1="８月分",1,IF($B$1="９月分",2,IF($B$1="10月分",3,IF($B$1="11月分",4,0))))))))</f>
        <v>0</v>
      </c>
      <c r="K9" s="100">
        <f>IF($B$1="４月分",0,IF($B$1="５月分",0,IF($B$1="６月分",0,IF($B$1="７月分",0,IF($B$1="８月分",1,IF($B$1="９月分",2,IF($B$1="10月分",3,IF($B$1="11月分",4,IF($B$1="12月分",5,0)))))))))</f>
        <v>0</v>
      </c>
      <c r="L9" s="100">
        <f>IF($B$1="４月分",0,IF($B$1="５月分",0,IF($B$1="６月分",0,IF($B$1="７月分",0,IF($B$1="８月分",1,IF($B$1="９月分",2,IF($B$1="10月分",3,IF($B$1="11月分",4,IF($B$1="12月分",5,IF($B$1="１月分",6,0))))))))))</f>
        <v>0</v>
      </c>
      <c r="M9" s="100">
        <f>IF($B$1="４月分",0,IF($B$1="５月分",0,IF($B$1="６月分",0,IF($B$1="７月分",0,IF($B$1="８月分",1,IF($B$1="９月分",2,IF($B$1="10月分",3,IF($B$1="11月分",4,IF($B$1="12月分",5,IF($B$1="１月分",6,IF($B$1="２月分",7,0)))))))))))</f>
        <v>0</v>
      </c>
      <c r="N9" s="102">
        <f>IF($B$1="４月分",0,IF($B$1="５月分",0,IF($B$1="６月分",0,IF($B$1="７月分",0,IF($B$1="８月分",1,IF($B$1="９月分",2,IF($B$1="10月分",3,IF($B$1="11月分",4,IF($B$1="12月分",5,IF($B$1="１月分",6,IF($B$1="２月分",7,IF($B$1="３月分",8))))))))))))</f>
        <v>0</v>
      </c>
    </row>
    <row r="10" spans="1:15" s="98" customFormat="1" ht="18.75" customHeight="1">
      <c r="A10" s="110">
        <v>8</v>
      </c>
      <c r="B10" s="101">
        <f t="shared" si="0"/>
        <v>0</v>
      </c>
      <c r="C10" s="117"/>
      <c r="D10" s="117"/>
      <c r="E10" s="117"/>
      <c r="F10" s="117"/>
      <c r="G10" s="100">
        <f>IF($B$1="４月分",0,IF($B$1="５月分",0,IF($B$1="６月分",0,IF($B$1="７月分",0,IF($B$1="８月分",0,0)))))</f>
        <v>0</v>
      </c>
      <c r="H10" s="100">
        <f>IF($B$1="４月分",0,IF($B$1="５月分",0,IF($B$1="６月分",0,IF($B$1="７月分",0,IF($B$1="８月分",0,IF($B$1="９月分",1,0))))))</f>
        <v>0</v>
      </c>
      <c r="I10" s="100">
        <f>IF($B$1="４月分",0,IF($B$1="５月分",0,IF($B$1="６月分",0,IF($B$1="７月分",0,IF($B$1="８月分",0,IF($B$1="９月分",1,IF($B$1="10月分",2,0)))))))</f>
        <v>0</v>
      </c>
      <c r="J10" s="100">
        <f>IF($B$1="４月分",0,IF($B$1="５月分",0,IF($B$1="６月分",0,IF($B$1="７月分",0,IF($B$1="８月分",0,IF($B$1="９月分",1,IF($B$1="10月分",2,IF($B$1="11月分",3,0))))))))</f>
        <v>0</v>
      </c>
      <c r="K10" s="100">
        <f>IF($B$1="４月分",0,IF($B$1="５月分",0,IF($B$1="６月分",0,IF($B$1="７月分",0,IF($B$1="８月分",0,IF($B$1="９月分",1,IF($B$1="10月分",2,IF($B$1="11月分",3,IF($B$1="12月分",4,0)))))))))</f>
        <v>0</v>
      </c>
      <c r="L10" s="100">
        <f>IF($B$1="４月分",0,IF($B$1="５月分",0,IF($B$1="６月分",0,IF($B$1="７月分",0,IF($B$1="８月分",0,IF($B$1="９月分",1,IF($B$1="10月分",2,IF($B$1="11月分",3,IF($B$1="12月分",4,IF($B$1="１月分",5,0))))))))))</f>
        <v>0</v>
      </c>
      <c r="M10" s="100">
        <f>IF($B$1="４月分",0,IF($B$1="５月分",0,IF($B$1="６月分",0,IF($B$1="７月分",0,IF($B$1="８月分",0,IF($B$1="９月分",1,IF($B$1="10月分",2,IF($B$1="11月分",3,IF($B$1="12月分",4,IF($B$1="１月分",5,IF($B$1="２月分",6,0)))))))))))</f>
        <v>0</v>
      </c>
      <c r="N10" s="102">
        <f>IF($B$1="４月分",0,IF($B$1="５月分",0,IF($B$1="６月分",0,IF($B$1="７月分",0,IF($B$1="８月分",0,IF($B$1="９月分",1,IF($B$1="10月分",2,IF($B$1="11月分",3,IF($B$1="12月分",4,IF($B$1="１月分",5,IF($B$1="２月分",6,IF($B$1="３月分",7))))))))))))</f>
        <v>0</v>
      </c>
    </row>
    <row r="11" spans="1:15" s="98" customFormat="1" ht="18.75" customHeight="1">
      <c r="A11" s="110">
        <v>9</v>
      </c>
      <c r="B11" s="101">
        <f t="shared" si="0"/>
        <v>0</v>
      </c>
      <c r="C11" s="117"/>
      <c r="D11" s="117"/>
      <c r="E11" s="117"/>
      <c r="F11" s="117"/>
      <c r="G11" s="117"/>
      <c r="H11" s="100">
        <f>IF($B$1="４月分",0,IF($B$1="５月分",0,IF($B$1="６月分",0,IF($B$1="７月分",0,IF($B$1="８月分",0,IF($B$1="９月分",0,0))))))</f>
        <v>0</v>
      </c>
      <c r="I11" s="100">
        <f>IF($B$1="４月分",0,IF($B$1="５月分",0,IF($B$1="６月分",0,IF($B$1="７月分",0,IF($B$1="８月分",0,IF($B$1="９月分",0,IF($B$1="10月分",1,0)))))))</f>
        <v>0</v>
      </c>
      <c r="J11" s="100">
        <f>IF($B$1="４月分",0,IF($B$1="５月分",0,IF($B$1="６月分",0,IF($B$1="７月分",0,IF($B$1="８月分",0,IF($B$1="９月分",0,IF($B$1="10月分",1,IF($B$1="11月分",2,0))))))))</f>
        <v>0</v>
      </c>
      <c r="K11" s="100">
        <f>IF($B$1="４月分",0,IF($B$1="５月分",0,IF($B$1="６月分",0,IF($B$1="７月分",0,IF($B$1="８月分",0,IF($B$1="９月分",0,IF($B$1="10月分",1,IF($B$1="11月分",2,IF($B$1="12月分",3,0)))))))))</f>
        <v>0</v>
      </c>
      <c r="L11" s="100">
        <f>IF($B$1="４月分",0,IF($B$1="５月分",0,IF($B$1="６月分",0,IF($B$1="７月分",0,IF($B$1="８月分",0,IF($B$1="９月分",0,IF($B$1="10月分",1,IF($B$1="11月分",2,IF($B$1="12月分",3,IF($B$1="１月分",4,0))))))))))</f>
        <v>0</v>
      </c>
      <c r="M11" s="100">
        <f>IF($B$1="４月分",0,IF($B$1="５月分",0,IF($B$1="６月分",0,IF($B$1="７月分",0,IF($B$1="８月分",0,IF($B$1="９月分",0,IF($B$1="10月分",1,IF($B$1="11月分",2,IF($B$1="12月分",3,IF($B$1="１月分",4,IF($B$1="２月分",5,0)))))))))))</f>
        <v>0</v>
      </c>
      <c r="N11" s="102">
        <f>IF($B$1="４月分",0,IF($B$1="５月分",0,IF($B$1="６月分",0,IF($B$1="７月分",0,IF($B$1="８月分",0,IF($B$1="９月分",0,IF($B$1="10月分",1,IF($B$1="11月分",2,IF($B$1="12月分",3,IF($B$1="１月分",4,IF($B$1="２月分",5,IF($B$1="３月分",6))))))))))))</f>
        <v>0</v>
      </c>
    </row>
    <row r="12" spans="1:15" s="98" customFormat="1" ht="18.75" customHeight="1">
      <c r="A12" s="110">
        <v>10</v>
      </c>
      <c r="B12" s="115">
        <f t="shared" si="0"/>
        <v>0</v>
      </c>
      <c r="C12" s="117"/>
      <c r="D12" s="117"/>
      <c r="E12" s="117"/>
      <c r="F12" s="117"/>
      <c r="G12" s="117"/>
      <c r="H12" s="117"/>
      <c r="I12" s="100">
        <f>IF($B$1="４月分",0,IF($B$1="５月分",0,IF($B$1="６月分",0,IF($B$1="７月分",0,IF($B$1="８月分",0,IF($B$1="９月分",0,IF($B$1="10月分",0,0)))))))</f>
        <v>0</v>
      </c>
      <c r="J12" s="100">
        <f>IF($B$1="４月分",0,IF($B$1="５月分",0,IF($B$1="６月分",0,IF($B$1="７月分",0,IF($B$1="８月分",0,IF($B$1="９月分",0,IF($B$1="10月分",0,IF($B$1="11月分",1,0))))))))</f>
        <v>0</v>
      </c>
      <c r="K12" s="100">
        <f>IF($B$1="４月分",0,IF($B$1="５月分",0,IF($B$1="６月分",0,IF($B$1="７月分",0,IF($B$1="８月分",0,IF($B$1="９月分",0,IF($B$1="10月分",0,IF($B$1="11月分",1,IF($B$1="12月分",,0)))))))))</f>
        <v>0</v>
      </c>
      <c r="L12" s="100">
        <f>IF($B$1="４月分",0,IF($B$1="５月分",0,IF($B$1="６月分",0,IF($B$1="７月分",0,IF($B$1="８月分",0,IF($B$1="９月分",0,IF($B$1="10月分",0,IF($B$1="11月分",1,IF($B$1="12月分",2,IF($B$1="１月分",3,0))))))))))</f>
        <v>0</v>
      </c>
      <c r="M12" s="100">
        <f>IF($B$1="４月分",0,IF($B$1="５月分",0,IF($B$1="６月分",0,IF($B$1="７月分",0,IF($B$1="８月分",0,IF($B$1="９月分",0,IF($B$1="10月分",0,IF($B$1="11月分",1,IF($B$1="12月分",2,IF($B$1="１月分",3,IF($B$1="２月分",4,0)))))))))))</f>
        <v>0</v>
      </c>
      <c r="N12" s="102">
        <f>IF($B$1="４月分",0,IF($B$1="５月分",0,IF($B$1="６月分",0,IF($B$1="７月分",0,IF($B$1="８月分",0,IF($B$1="９月分",0,IF($B$1="10月分",0,IF($B$1="11月分",1,IF($B$1="12月分",2,IF($B$1="１月分",3,IF($B$1="２月分",4,IF($B$1="３月分",5))))))))))))</f>
        <v>0</v>
      </c>
    </row>
    <row r="13" spans="1:15" s="98" customFormat="1" ht="18.75" customHeight="1">
      <c r="A13" s="110">
        <v>11</v>
      </c>
      <c r="B13" s="115">
        <f t="shared" si="0"/>
        <v>0</v>
      </c>
      <c r="C13" s="117"/>
      <c r="D13" s="117"/>
      <c r="E13" s="117"/>
      <c r="F13" s="117"/>
      <c r="G13" s="117"/>
      <c r="H13" s="117"/>
      <c r="I13" s="117"/>
      <c r="J13" s="100">
        <f>IF($B$1="４月分",0,IF($B$1="５月分",0,IF($B$1="６月分",0,IF($B$1="７月分",0,IF($B$1="８月分",0,IF($B$1="９月分",0,IF($B$1="10月分",0,IF($B$1="11月分",0,0))))))))</f>
        <v>0</v>
      </c>
      <c r="K13" s="100">
        <f>IF($B$1="４月分",0,IF($B$1="５月分",0,IF($B$1="６月分",0,IF($B$1="７月分",0,IF($B$1="８月分",0,IF($B$1="９月分",0,IF($B$1="10月分",0,IF($B$1="11月分",1,IF($B$1="12月分",2,0)))))))))</f>
        <v>0</v>
      </c>
      <c r="L13" s="100">
        <f>IF($B$1="４月分",0,IF($B$1="５月分",0,IF($B$1="６月分",0,IF($B$1="７月分",0,IF($B$1="８月分",0,IF($B$1="９月分",0,IF($B$1="10月分",0,IF($B$1="11月分",0,IF($B$1="12月分",1,IF($B$1="１月分",2,0))))))))))</f>
        <v>0</v>
      </c>
      <c r="M13" s="100">
        <f>IF($B$1="４月分",0,IF($B$1="５月分",0,IF($B$1="６月分",0,IF($B$1="７月分",0,IF($B$1="８月分",0,IF($B$1="９月分",0,IF($B$1="10月分",0,IF($B$1="11月分",0,IF($B$1="12月分",1,IF($B$1="１月分",2,IF($B$1="２月分",3,0)))))))))))</f>
        <v>0</v>
      </c>
      <c r="N13" s="102">
        <f>IF($B$1="４月分",0,IF($B$1="５月分",0,IF($B$1="６月分",0,IF($B$1="７月分",0,IF($B$1="８月分",0,IF($B$1="９月分",0,IF($B$1="10月分",0,IF($B$1="11月分",0,IF($B$1="12月分",1,IF($B$1="１月分",2,IF($B$1="２月分",3,IF($B$1="３月分",4))))))))))))</f>
        <v>0</v>
      </c>
    </row>
    <row r="14" spans="1:15" s="98" customFormat="1" ht="18.75" customHeight="1">
      <c r="A14" s="110">
        <v>12</v>
      </c>
      <c r="B14" s="115">
        <f t="shared" si="0"/>
        <v>0</v>
      </c>
      <c r="C14" s="117"/>
      <c r="D14" s="117"/>
      <c r="E14" s="117"/>
      <c r="F14" s="117"/>
      <c r="G14" s="117"/>
      <c r="H14" s="117"/>
      <c r="I14" s="117"/>
      <c r="J14" s="117"/>
      <c r="K14" s="100">
        <f>IF($B$1="４月分",0,IF($B$1="５月分",0,IF($B$1="６月分",0,IF($B$1="７月分",0,IF($B$1="８月分",0,IF($B$1="９月分",0,IF($B$1="10月分",0,IF($B$1="11月分",0,IF($B$1="12月分",1,0)))))))))</f>
        <v>0</v>
      </c>
      <c r="L14" s="100">
        <f>IF($B$1="４月分",0,IF($B$1="５月分",0,IF($B$1="６月分",0,IF($B$1="７月分",0,IF($B$1="８月分",0,IF($B$1="９月分",0,IF($B$1="10月分",0,IF($B$1="11月分",0,IF($B$1="12月分",0,IF($B$1="１月分",1,0))))))))))</f>
        <v>0</v>
      </c>
      <c r="M14" s="100">
        <f>IF($B$1="４月分",0,IF($B$1="５月分",0,IF($B$1="６月分",0,IF($B$1="７月分",0,IF($B$1="８月分",0,IF($B$1="９月分",0,IF($B$1="10月分",0,IF($B$1="11月分",0,IF($B$1="12月分",0,IF($B$1="１月分",1,IF($B$1="２月分",2,0)))))))))))</f>
        <v>0</v>
      </c>
      <c r="N14" s="102">
        <f>IF($B$1="４月分",0,IF($B$1="５月分",0,IF($B$1="６月分",0,IF($B$1="７月分",0,IF($B$1="８月分",0,IF($B$1="９月分",0,IF($B$1="10月分",0,IF($B$1="11月分",0,IF($B$1="12月分",0,IF($B$1="１月分",1,IF($B$1="２月分",2,IF($B$1="３月分",3))))))))))))</f>
        <v>0</v>
      </c>
    </row>
    <row r="15" spans="1:15" s="98" customFormat="1" ht="18.75" customHeight="1">
      <c r="A15" s="110">
        <v>1</v>
      </c>
      <c r="B15" s="115">
        <f t="shared" si="0"/>
        <v>0</v>
      </c>
      <c r="C15" s="117"/>
      <c r="D15" s="117"/>
      <c r="E15" s="117"/>
      <c r="F15" s="117"/>
      <c r="G15" s="117"/>
      <c r="H15" s="117"/>
      <c r="I15" s="117"/>
      <c r="J15" s="117"/>
      <c r="K15" s="117"/>
      <c r="L15" s="100">
        <f>IF($B$1="４月分",0,IF($B$1="５月分",0,IF($B$1="６月分",0,IF($B$1="７月分",0,IF($B$1="８月分",0,IF($B$1="９月分",0,IF($B$1="10月分",0,IF($B$1="11月分",0,IF($B$1="12月分",0,IF($B$1="１月分",0,0))))))))))</f>
        <v>0</v>
      </c>
      <c r="M15" s="100">
        <f>IF($B$1="４月分",0,IF($B$1="５月分",0,IF($B$1="６月分",0,IF($B$1="７月分",0,IF($B$1="８月分",0,IF($B$1="９月分",0,IF($B$1="10月分",0,IF($B$1="11月分",0,IF($B$1="12月分",0,IF($B$1="１月分",0,IF($B$1="２月分",1,0)))))))))))</f>
        <v>0</v>
      </c>
      <c r="N15" s="102">
        <f>IF($B$1="４月分",0,IF($B$1="５月分",0,IF($B$1="６月分",0,IF($B$1="７月分",0,IF($B$1="８月分",0,IF($B$1="９月分",0,IF($B$1="10月分",0,IF($B$1="11月分",0,IF($B$1="12月分",0,IF($B$1="１月分",0,IF($B$1="２月分",1,IF($B$1="３月分",2))))))))))))</f>
        <v>0</v>
      </c>
    </row>
    <row r="16" spans="1:15" s="98" customFormat="1" ht="18.75" customHeight="1">
      <c r="A16" s="110">
        <v>2</v>
      </c>
      <c r="B16" s="115">
        <f t="shared" si="0"/>
        <v>0</v>
      </c>
      <c r="C16" s="117"/>
      <c r="D16" s="117"/>
      <c r="E16" s="117"/>
      <c r="F16" s="117"/>
      <c r="G16" s="117"/>
      <c r="H16" s="117"/>
      <c r="I16" s="117"/>
      <c r="J16" s="117"/>
      <c r="K16" s="117"/>
      <c r="L16" s="117"/>
      <c r="M16" s="100">
        <f>IF($B$1="４月分",0,IF($B$1="５月分",0,IF($B$1="６月分",0,IF($B$1="７月分",0,IF($B$1="８月分",0,IF($B$1="９月分",0,IF($B$1="10月分",0,IF($B$1="11月分",0,IF($B$1="12月分",0,IF($B$1="１月分",0,IF($B$1="２月分",0,0)))))))))))</f>
        <v>0</v>
      </c>
      <c r="N16" s="102">
        <f>IF($B$1="４月分",0,IF($B$1="５月分",0,IF($B$1="６月分",0,IF($B$1="７月分",0,IF($B$1="８月分",0,IF($B$1="９月分",0,IF($B$1="10月分",0,IF($B$1="11月分",0,IF($B$1="12月分",0,IF($B$1="１月分",0,IF($B$1="２月分",0,IF($B$1="３月分",1))))))))))))</f>
        <v>0</v>
      </c>
    </row>
    <row r="17" spans="1:14" s="98" customFormat="1" ht="18.75" customHeight="1">
      <c r="A17" s="111">
        <v>3</v>
      </c>
      <c r="B17" s="116">
        <f t="shared" si="0"/>
        <v>0</v>
      </c>
      <c r="C17" s="118"/>
      <c r="D17" s="118"/>
      <c r="E17" s="118"/>
      <c r="F17" s="118"/>
      <c r="G17" s="118"/>
      <c r="H17" s="118"/>
      <c r="I17" s="118"/>
      <c r="J17" s="118"/>
      <c r="K17" s="118"/>
      <c r="L17" s="118"/>
      <c r="M17" s="118"/>
      <c r="N17" s="103">
        <f>IF($B$1="４月分",0,IF($B$1="５月分",0,IF($B$1="６月分",0,IF($B$1="７月分",0,IF($B$1="８月分",0,IF($B$1="９月分",0,IF($B$1="10月分",0,IF($B$1="11月分",0,IF($B$1="12月分",0,IF($B$1="１月分",0,IF($B$1="２月分",0,IF($B$1="３月分",0))))))))))))</f>
        <v>0</v>
      </c>
    </row>
  </sheetData>
  <sheetProtection algorithmName="SHA-512" hashValue="2pXIq1opk1F5Gb5tpx2w2OGIZe60Zw8k/2axd7urs4ivxpJWCHImZB8vvjtlDe7kDJy4C9r/6RfnxEN2qWdjYw==" saltValue="CcG056JsccvPBoc+GLVfLA==" spinCount="100000" sheet="1" objects="1" scenarios="1"/>
  <mergeCells count="1">
    <mergeCell ref="B1:C1"/>
  </mergeCells>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このファイルについて</vt:lpstr>
      <vt:lpstr>①園入力用名簿</vt:lpstr>
      <vt:lpstr>②請求書</vt:lpstr>
      <vt:lpstr>③内訳書（自動計算）</vt:lpstr>
      <vt:lpstr>触らない</vt:lpstr>
      <vt:lpstr>'③内訳書（自動計算）'!Print_Area</vt:lpstr>
      <vt:lpstr>①園入力用名簿!Print_Titles</vt:lpstr>
      <vt:lpstr>'③内訳書（自動計算）'!Print_Titles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有紀</dc:creator>
  <cp:lastModifiedBy>永野勝章</cp:lastModifiedBy>
  <cp:lastPrinted>2022-05-24T06:16:54Z</cp:lastPrinted>
  <dcterms:created xsi:type="dcterms:W3CDTF">2019-08-30T07:24:06Z</dcterms:created>
  <dcterms:modified xsi:type="dcterms:W3CDTF">2024-12-10T00:46:16Z</dcterms:modified>
</cp:coreProperties>
</file>